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mc:AlternateContent xmlns:mc="http://schemas.openxmlformats.org/markup-compatibility/2006">
    <mc:Choice Requires="x15">
      <x15ac:absPath xmlns:x15ac="http://schemas.microsoft.com/office/spreadsheetml/2010/11/ac" url="C:\Users\carln\Desktop\iwp-site-concepts\public\downloads\"/>
    </mc:Choice>
  </mc:AlternateContent>
  <xr:revisionPtr revIDLastSave="0" documentId="13_ncr:1_{17593591-2E60-4DDA-9C54-8D5D39CD6867}" xr6:coauthVersionLast="47" xr6:coauthVersionMax="47" xr10:uidLastSave="{00000000-0000-0000-0000-000000000000}"/>
  <bookViews>
    <workbookView xWindow="-98" yWindow="-98" windowWidth="21795" windowHeight="12975" tabRatio="500" activeTab="1" xr2:uid="{00000000-000D-0000-FFFF-FFFF00000000}"/>
  </bookViews>
  <sheets>
    <sheet name="Guide" sheetId="4" r:id="rId1"/>
    <sheet name="DCF Model" sheetId="3" r:id="rId2"/>
  </sheet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C14" i="3" l="1"/>
  <c r="C101" i="3"/>
  <c r="C103" i="3" s="1"/>
  <c r="H74" i="3"/>
  <c r="G74" i="3"/>
  <c r="F74" i="3"/>
  <c r="E74" i="3"/>
  <c r="D74" i="3"/>
  <c r="C99" i="3"/>
  <c r="C100" i="3" s="1"/>
  <c r="C94" i="3"/>
  <c r="C93" i="3"/>
  <c r="C97" i="3" s="1"/>
  <c r="F88" i="3"/>
  <c r="F87" i="3"/>
  <c r="D38" i="3" s="1"/>
  <c r="F86" i="3"/>
  <c r="F85" i="3"/>
  <c r="F84" i="3"/>
  <c r="E29" i="3" s="1"/>
  <c r="I66" i="3"/>
  <c r="H66" i="3"/>
  <c r="G66" i="3"/>
  <c r="I64" i="3"/>
  <c r="H64" i="3"/>
  <c r="G64" i="3"/>
  <c r="J51" i="3"/>
  <c r="D36" i="3"/>
  <c r="C36" i="3"/>
  <c r="D34" i="3"/>
  <c r="C34" i="3"/>
  <c r="D32" i="3"/>
  <c r="C71" i="3" s="1"/>
  <c r="C32" i="3"/>
  <c r="J30" i="3"/>
  <c r="D30" i="3"/>
  <c r="C18" i="3"/>
  <c r="I11" i="3"/>
  <c r="H11" i="3"/>
  <c r="G11" i="3"/>
  <c r="C102" i="3" l="1"/>
  <c r="C104" i="3" s="1"/>
  <c r="H22" i="3"/>
  <c r="E34" i="3"/>
  <c r="C78" i="3"/>
  <c r="C77" i="3"/>
  <c r="C76" i="3"/>
  <c r="I22" i="3"/>
  <c r="C79" i="3"/>
  <c r="H58" i="3"/>
  <c r="G22" i="3"/>
  <c r="H10" i="3"/>
  <c r="C75" i="3"/>
  <c r="E32" i="3"/>
  <c r="E42" i="3" s="1"/>
  <c r="C38" i="3"/>
  <c r="D39" i="3" s="1"/>
  <c r="F29" i="3"/>
  <c r="F34" i="3" s="1"/>
  <c r="E36" i="3"/>
  <c r="E48" i="3" s="1"/>
  <c r="E38" i="3"/>
  <c r="E39" i="3" s="1"/>
  <c r="E49" i="3" s="1"/>
  <c r="G10" i="3" l="1"/>
  <c r="G58" i="3"/>
  <c r="I58" i="3"/>
  <c r="I10" i="3"/>
  <c r="F36" i="3"/>
  <c r="F48" i="3" s="1"/>
  <c r="F32" i="3"/>
  <c r="F42" i="3" s="1"/>
  <c r="F38" i="3"/>
  <c r="F39" i="3" s="1"/>
  <c r="F49" i="3" s="1"/>
  <c r="G29" i="3"/>
  <c r="G34" i="3" s="1"/>
  <c r="E47" i="3"/>
  <c r="E43" i="3"/>
  <c r="E44" i="3" s="1"/>
  <c r="E45" i="3" s="1"/>
  <c r="G36" i="3" l="1"/>
  <c r="G48" i="3" s="1"/>
  <c r="G32" i="3"/>
  <c r="G42" i="3" s="1"/>
  <c r="G38" i="3"/>
  <c r="G39" i="3" s="1"/>
  <c r="G49" i="3" s="1"/>
  <c r="H29" i="3"/>
  <c r="H34" i="3" s="1"/>
  <c r="E46" i="3"/>
  <c r="E50" i="3" s="1"/>
  <c r="F47" i="3"/>
  <c r="F43" i="3"/>
  <c r="F44" i="3" s="1"/>
  <c r="F45" i="3" s="1"/>
  <c r="H36" i="3" l="1"/>
  <c r="H48" i="3" s="1"/>
  <c r="I29" i="3"/>
  <c r="I34" i="3" s="1"/>
  <c r="H38" i="3"/>
  <c r="H32" i="3"/>
  <c r="G47" i="3"/>
  <c r="G43" i="3"/>
  <c r="G44" i="3" s="1"/>
  <c r="G45" i="3" s="1"/>
  <c r="H42" i="3"/>
  <c r="H39" i="3"/>
  <c r="H49" i="3" s="1"/>
  <c r="F46" i="3"/>
  <c r="F50" i="3" s="1"/>
  <c r="I36" i="3" l="1"/>
  <c r="I48" i="3" s="1"/>
  <c r="I32" i="3"/>
  <c r="I38" i="3"/>
  <c r="I39" i="3" s="1"/>
  <c r="I49" i="3" s="1"/>
  <c r="C15" i="3"/>
  <c r="J29" i="3"/>
  <c r="J34" i="3" s="1"/>
  <c r="G46" i="3"/>
  <c r="G50" i="3" s="1"/>
  <c r="H47" i="3"/>
  <c r="H43" i="3"/>
  <c r="H44" i="3" s="1"/>
  <c r="H45" i="3" s="1"/>
  <c r="J36" i="3" l="1"/>
  <c r="J48" i="3" s="1"/>
  <c r="J32" i="3"/>
  <c r="J42" i="3" s="1"/>
  <c r="J38" i="3"/>
  <c r="J39" i="3" s="1"/>
  <c r="J49" i="3" s="1"/>
  <c r="I47" i="3"/>
  <c r="I43" i="3"/>
  <c r="I42" i="3"/>
  <c r="C16" i="3"/>
  <c r="H46" i="3"/>
  <c r="H50" i="3" s="1"/>
  <c r="I44" i="3" l="1"/>
  <c r="I45" i="3" s="1"/>
  <c r="J47" i="3"/>
  <c r="J43" i="3"/>
  <c r="J44" i="3" s="1"/>
  <c r="J45" i="3" s="1"/>
  <c r="I46" i="3" l="1"/>
  <c r="I50" i="3" s="1"/>
  <c r="C17" i="3" s="1"/>
  <c r="J46" i="3"/>
  <c r="J50" i="3" s="1"/>
  <c r="I57" i="3" l="1"/>
  <c r="H57" i="3"/>
  <c r="G57" i="3"/>
  <c r="G55" i="3"/>
  <c r="H55" i="3"/>
  <c r="I55" i="3"/>
  <c r="I56" i="3"/>
  <c r="H56" i="3"/>
  <c r="G56" i="3"/>
  <c r="E76" i="3"/>
  <c r="E79" i="3"/>
  <c r="F77" i="3"/>
  <c r="D76" i="3"/>
  <c r="D79" i="3"/>
  <c r="H78" i="3"/>
  <c r="D77" i="3"/>
  <c r="H76" i="3"/>
  <c r="F75" i="3"/>
  <c r="E75" i="3"/>
  <c r="H77" i="3"/>
  <c r="E77" i="3"/>
  <c r="G75" i="3"/>
  <c r="F78" i="3"/>
  <c r="H79" i="3"/>
  <c r="D75" i="3"/>
  <c r="F76" i="3"/>
  <c r="G77" i="3"/>
  <c r="H75" i="3"/>
  <c r="G78" i="3"/>
  <c r="E78" i="3"/>
  <c r="D78" i="3"/>
  <c r="G79" i="3"/>
  <c r="G76" i="3"/>
  <c r="F79" i="3"/>
  <c r="G59" i="3" l="1"/>
  <c r="G70" i="3"/>
  <c r="G69" i="3"/>
  <c r="G13" i="3" s="1"/>
  <c r="H59" i="3"/>
  <c r="H70" i="3"/>
  <c r="H69" i="3"/>
  <c r="H13" i="3" s="1"/>
  <c r="I70" i="3"/>
  <c r="I69" i="3"/>
  <c r="I13" i="3" s="1"/>
  <c r="I59" i="3"/>
  <c r="I62" i="3" l="1"/>
  <c r="I65" i="3" s="1"/>
  <c r="I68" i="3" s="1"/>
  <c r="I8" i="3" s="1"/>
  <c r="I9" i="3" s="1"/>
  <c r="H62" i="3"/>
  <c r="H65" i="3" s="1"/>
  <c r="H68" i="3" s="1"/>
  <c r="G62" i="3"/>
  <c r="G65" i="3" s="1"/>
  <c r="G68" i="3" s="1"/>
  <c r="G8" i="3" s="1"/>
  <c r="G9" i="3" s="1"/>
  <c r="H8" i="3" l="1"/>
  <c r="H9" i="3" s="1"/>
  <c r="H12" i="3"/>
  <c r="G12" i="3"/>
  <c r="I12"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Unknown Author</author>
  </authors>
  <commentList>
    <comment ref="G22" authorId="0" shapeId="0" xr:uid="{00000000-0006-0000-0200-000001000000}">
      <text>
        <r>
          <rPr>
            <sz val="10"/>
            <rFont val="Arial"/>
            <family val="2"/>
          </rPr>
          <t>Low fair value uses the highest discount rate.</t>
        </r>
      </text>
    </comment>
    <comment ref="I22" authorId="0" shapeId="0" xr:uid="{00000000-0006-0000-0200-000002000000}">
      <text>
        <r>
          <rPr>
            <sz val="10"/>
            <rFont val="Arial"/>
            <family val="2"/>
          </rPr>
          <t>High fair value uses the lowest discount rate.</t>
        </r>
      </text>
    </comment>
  </commentList>
</comments>
</file>

<file path=xl/sharedStrings.xml><?xml version="1.0" encoding="utf-8"?>
<sst xmlns="http://schemas.openxmlformats.org/spreadsheetml/2006/main" count="161" uniqueCount="146">
  <si>
    <t>Example Company, Inc.</t>
  </si>
  <si>
    <t>Ticker</t>
  </si>
  <si>
    <t>EXMPL</t>
  </si>
  <si>
    <t>Valuation date</t>
  </si>
  <si>
    <t>Current share price</t>
  </si>
  <si>
    <t>Shares outstanding (mm)</t>
  </si>
  <si>
    <t>Tax rate</t>
  </si>
  <si>
    <t>Discount rate (WACC)</t>
  </si>
  <si>
    <t>Year 1</t>
  </si>
  <si>
    <t>Year 2</t>
  </si>
  <si>
    <t>Year 3</t>
  </si>
  <si>
    <t>Year 4</t>
  </si>
  <si>
    <t>Year 5</t>
  </si>
  <si>
    <t>Revenue growth (%)</t>
  </si>
  <si>
    <t>Revenue</t>
  </si>
  <si>
    <t>NOPAT</t>
  </si>
  <si>
    <t>Unlevered free cash flow</t>
  </si>
  <si>
    <t>PV of terminal value</t>
  </si>
  <si>
    <t>Enterprise value</t>
  </si>
  <si>
    <t>Equity value</t>
  </si>
  <si>
    <t>Fair value per share</t>
  </si>
  <si>
    <t>Upside / (downside)</t>
  </si>
  <si>
    <t>Depreciation &amp; amortisation (% rev)</t>
  </si>
  <si>
    <t>Capital expenditures (% rev)</t>
  </si>
  <si>
    <t>EBIT</t>
  </si>
  <si>
    <t>Plus: D&amp;A</t>
  </si>
  <si>
    <t>Less: CapEx</t>
  </si>
  <si>
    <t>Less: increase in NWC</t>
  </si>
  <si>
    <t>Base</t>
  </si>
  <si>
    <t>Unlevered FCF</t>
  </si>
  <si>
    <t>$ millions unless noted.   Blue = inputs, black = formulas.   'Low / Mid / High' fair value pairs a higher discount rate with lower growth (Low) through a lower discount rate with higher growth (High).</t>
  </si>
  <si>
    <t>MODEL SUMMARY</t>
  </si>
  <si>
    <t>Company</t>
  </si>
  <si>
    <t>Low</t>
  </si>
  <si>
    <t>Mid</t>
  </si>
  <si>
    <t>High</t>
  </si>
  <si>
    <t>Fair value / share</t>
  </si>
  <si>
    <t>Cost of capital (WACC)</t>
  </si>
  <si>
    <t>Perpetuity growth (g)</t>
  </si>
  <si>
    <t>Cash &amp; equivalents (+)</t>
  </si>
  <si>
    <t>Total debt (-)</t>
  </si>
  <si>
    <t>Implied exit EV/EBITDA</t>
  </si>
  <si>
    <t>Assessment (mid case)</t>
  </si>
  <si>
    <t>Revenue 5Y CAGR</t>
  </si>
  <si>
    <t>EBITDA 5Y CAGR</t>
  </si>
  <si>
    <t>Unlevered FCF 5Y CAGR</t>
  </si>
  <si>
    <t>5Y avg EBITDA margin</t>
  </si>
  <si>
    <t>VALUATION ASSUMPTIONS  (range)</t>
  </si>
  <si>
    <t>Perpetuity growth rate (g)</t>
  </si>
  <si>
    <t>Pro-forma tax rate</t>
  </si>
  <si>
    <t>Mid-year convention applied (cash flows arrive mid-period).</t>
  </si>
  <si>
    <t>FORECAST DRIVERS  (historicals · forecast · terminal)</t>
  </si>
  <si>
    <t>FY-2</t>
  </si>
  <si>
    <t>FY-1</t>
  </si>
  <si>
    <t>Terminal</t>
  </si>
  <si>
    <t>EBITDA margin (%)</t>
  </si>
  <si>
    <t>EBITDA</t>
  </si>
  <si>
    <t>D&amp;A</t>
  </si>
  <si>
    <t>CapEx</t>
  </si>
  <si>
    <t>Net working capital (% rev)</t>
  </si>
  <si>
    <t>Net working capital (level)</t>
  </si>
  <si>
    <t>Increase in NWC</t>
  </si>
  <si>
    <t>UNLEVERED FREE CASH FLOW</t>
  </si>
  <si>
    <t>Less: D&amp;A</t>
  </si>
  <si>
    <t>Less: pro-forma taxes</t>
  </si>
  <si>
    <t>Mid-year discount period</t>
  </si>
  <si>
    <t>ENTERPRISE VALUE  →  FAIR VALUE  (range)</t>
  </si>
  <si>
    <t>PV of forecast FCF (mid-year)</t>
  </si>
  <si>
    <t>Terminal FCF (normalised)</t>
  </si>
  <si>
    <t>Terminal discount factor</t>
  </si>
  <si>
    <t>Plus: cash  /  Less: debt</t>
  </si>
  <si>
    <t>Implied exit EV/Revenue</t>
  </si>
  <si>
    <t>Current LTM EV/EBITDA (market)</t>
  </si>
  <si>
    <t>WACC \ g</t>
  </si>
  <si>
    <t>How to use this DCF template</t>
  </si>
  <si>
    <t>Step 1</t>
  </si>
  <si>
    <t>On the DCF Model tab, replace every blue cell with your company's figures: name, ticker, current price, shares, and base-year revenue.</t>
  </si>
  <si>
    <t>Step 2</t>
  </si>
  <si>
    <t>Step 3</t>
  </si>
  <si>
    <t>Set the revenue growth for each of the five years. Growth can taper down year by year.</t>
  </si>
  <si>
    <t>Step 4</t>
  </si>
  <si>
    <t>Step 5</t>
  </si>
  <si>
    <t>Enter cash and total debt to bridge from enterprise value to equity value.</t>
  </si>
  <si>
    <t>Result</t>
  </si>
  <si>
    <t>Color key</t>
  </si>
  <si>
    <t>Blue cells</t>
  </si>
  <si>
    <t>Inputs you fill in.</t>
  </si>
  <si>
    <t>Black cells</t>
  </si>
  <si>
    <t>Formulas calculated by the model — leave them alone.</t>
  </si>
  <si>
    <t>Key formulas</t>
  </si>
  <si>
    <t>NOPAT + D&amp;A - CapEx - increase in NWC</t>
  </si>
  <si>
    <t>Terminal value</t>
  </si>
  <si>
    <t>PV of forecast FCF + PV of terminal value</t>
  </si>
  <si>
    <t>Enterprise value + cash - debt</t>
  </si>
  <si>
    <t>Equity value / shares outstanding</t>
  </si>
  <si>
    <t>Note</t>
  </si>
  <si>
    <t>The blue values shipped in this template are placeholder examples so the model works out of the box. Replace them with real figures. This tool is for educational purposes and is not investment advice.</t>
  </si>
  <si>
    <t>Discounted Cash Flow (DCF) Model</t>
  </si>
  <si>
    <t>Fair-value range with a scenario toggle. Blue cells are inputs; black cells are formulas.</t>
  </si>
  <si>
    <t>Driver</t>
  </si>
  <si>
    <t>Conservative</t>
  </si>
  <si>
    <t>Optimistic</t>
  </si>
  <si>
    <t>Applied now</t>
  </si>
  <si>
    <t>Revenue growth</t>
  </si>
  <si>
    <t>EBITDA margin</t>
  </si>
  <si>
    <t>CapEx (% rev)</t>
  </si>
  <si>
    <t>NWC (% rev)</t>
  </si>
  <si>
    <t>SCENARIO</t>
  </si>
  <si>
    <t>Shifts the 5 operating drivers (tune amounts in the Scenario Dial below).</t>
  </si>
  <si>
    <t>SCENARIO DIAL  |  percentage-point shifts applied to the operating drivers (edit to tune)</t>
  </si>
  <si>
    <t>SENSITIVITY  |  FAIR VALUE PER SHARE  (WACC vs perpetuity growth)</t>
  </si>
  <si>
    <t>WACC BUILD-UP  (CAPM cost of equity, with a regional risk-free / ERP lookup)</t>
  </si>
  <si>
    <t>Region</t>
  </si>
  <si>
    <t>Rf</t>
  </si>
  <si>
    <t>ERP</t>
  </si>
  <si>
    <t>US</t>
  </si>
  <si>
    <t>EU</t>
  </si>
  <si>
    <t>MENA</t>
  </si>
  <si>
    <t>Asia</t>
  </si>
  <si>
    <t>Risk-free rate (Rf)</t>
  </si>
  <si>
    <t>Equity risk premium (ERP)</t>
  </si>
  <si>
    <t>Country risk premium (CRP)</t>
  </si>
  <si>
    <t>Levered beta</t>
  </si>
  <si>
    <t>Cost of equity (Ke = Rf + b x ERP + CRP)</t>
  </si>
  <si>
    <t>Pre-tax cost of debt (Kd)</t>
  </si>
  <si>
    <t>After-tax cost of debt = Kd x (1 - t)</t>
  </si>
  <si>
    <t>Equity weight (E / V)</t>
  </si>
  <si>
    <t>Debt weight (D / V)</t>
  </si>
  <si>
    <t>WACC = We x Ke + Wd x Kd(1-t)</t>
  </si>
  <si>
    <t>Terminal method (Gordon / Exit)</t>
  </si>
  <si>
    <t>Gordon</t>
  </si>
  <si>
    <t>Exit EV/EBITDA multiple</t>
  </si>
  <si>
    <t>D&amp;A (% rev)</t>
  </si>
  <si>
    <t>Terminal value % EV</t>
  </si>
  <si>
    <t>Set the operating assumptions (EBITDA margin, D&amp;A, CapEx and NWC as % of revenue, plus the pro-forma tax rate). These apply to every forecast year.</t>
  </si>
  <si>
    <t>Build up WACC in the WACC BUILD-UP section: pick a region (auto-fills the risk-free rate and equity risk premium), then add your country risk premium, levered beta, cost of debt and capital-structure weights. Set the terminal growth rate (g); WACC must stay above g.</t>
  </si>
  <si>
    <t>The model computes unlevered free cash flow, discounts it (mid-year), and adds a terminal value by either the Gordon-growth or exit-multiple method (your pick), returning a Low/Mid/High fair value per share plus upside/downside vs. the current price. Use the Scenario selector and Scenario Dial to flex the operating drivers.</t>
  </si>
  <si>
    <t>Gordon: Year-5 FCF x (1 + g) / (WACC - g)   |   Exit multiple: terminal EBITDA x exit EV/EBITDA</t>
  </si>
  <si>
    <t>WACC (CAPM)</t>
  </si>
  <si>
    <t>Cost of equity = risk-free rate + beta x equity risk premium + country risk premium; WACC blends it with the after-tax cost of debt by capital-structure weights.</t>
  </si>
  <si>
    <t>Sensitivity</t>
  </si>
  <si>
    <t>The WACC and growth axes are formula-driven - they re-centre automatically on whatever WACC and g the model computes.</t>
  </si>
  <si>
    <t>Total capital (V = equity + debt)</t>
  </si>
  <si>
    <t>Terminal value (selected method - set in C105)</t>
  </si>
  <si>
    <t>Country risk premium (CRP, cell C95): source your country's value from Damodaran's estimates (updated annually).</t>
  </si>
  <si>
    <t>Damodaran - Country Default Spreads and Risk Premiums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</si>
</sst>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mmm\ d&quot;, &quot;yyyy"/>
    <numFmt numFmtId="165" formatCode="\$#,##0.00"/>
    <numFmt numFmtId="166" formatCode="0.0%"/>
    <numFmt numFmtId="167" formatCode="#,##0;\(#,##0\);\-"/>
    <numFmt numFmtId="168" formatCode="0.000"/>
    <numFmt numFmtId="169" formatCode="0.0\x"/>
    <numFmt numFmtId="170" formatCode="0.0"/>
    <numFmt numFmtId="171" formatCode="0.0&quot; x&quot;"/>
  </numFmts>
  <fonts count="33" x14ac:knownFonts="1">
    <font>
      <sz val="11"/>
      <color theme="1"/>
      <name val="Calibri"/>
      <family val="2"/>
      <charset val="1"/>
    </font>
    <font>
      <b/>
      <sz val="15"/>
      <color rgb="FFFFFFFF"/>
      <name val="Arial"/>
      <charset val="1"/>
    </font>
    <font>
      <sz val="10"/>
      <color rgb="FF000000"/>
      <name val="Arial"/>
      <charset val="1"/>
    </font>
    <font>
      <b/>
      <sz val="10"/>
      <color rgb="FFFFFFFF"/>
      <name val="Arial"/>
      <charset val="1"/>
    </font>
    <font>
      <sz val="10"/>
      <color rgb="FF0000FF"/>
      <name val="Arial"/>
      <charset val="1"/>
    </font>
    <font>
      <b/>
      <sz val="9"/>
      <color rgb="FF0A2540"/>
      <name val="Arial"/>
      <charset val="1"/>
    </font>
    <font>
      <sz val="10"/>
      <color rgb="FF5C6B64"/>
      <name val="Arial"/>
      <charset val="1"/>
    </font>
    <font>
      <b/>
      <sz val="10"/>
      <color rgb="FF000000"/>
      <name val="Arial"/>
      <charset val="1"/>
    </font>
    <font>
      <b/>
      <sz val="11"/>
      <color rgb="FF0A2540"/>
      <name val="Arial"/>
      <charset val="1"/>
    </font>
    <font>
      <b/>
      <sz val="10"/>
      <color rgb="FF0A5C65"/>
      <name val="Arial"/>
      <charset val="1"/>
    </font>
    <font>
      <sz val="10"/>
      <name val="Arial"/>
      <family val="2"/>
    </font>
    <font>
      <sz val="9"/>
      <color rgb="FFFFFFFF"/>
      <name val="Arial"/>
      <charset val="1"/>
    </font>
    <font>
      <b/>
      <sz val="10"/>
      <color rgb="FF0A2540"/>
      <name val="Arial"/>
      <charset val="1"/>
    </font>
    <font>
      <i/>
      <sz val="8.5"/>
      <color rgb="FF5C6B64"/>
      <name val="Arial"/>
      <charset val="1"/>
    </font>
    <font>
      <b/>
      <sz val="14"/>
      <color rgb="FFFFFFFF"/>
      <name val="Arial"/>
      <charset val="1"/>
    </font>
    <font>
      <b/>
      <sz val="10"/>
      <color rgb="FF0000FF"/>
      <name val="Arial"/>
      <charset val="1"/>
    </font>
    <font>
      <b/>
      <sz val="10"/>
      <color rgb="FF5C6B64"/>
      <name val="Arial"/>
      <charset val="1"/>
    </font>
    <font>
      <i/>
      <sz val="10"/>
      <color rgb="FF5C6B64"/>
      <name val="Arial"/>
      <charset val="1"/>
    </font>
    <font>
      <b/>
      <sz val="10"/>
      <color rgb="FF0A5C65"/>
      <name val="Arial"/>
      <family val="2"/>
    </font>
    <font>
      <b/>
      <sz val="10"/>
      <color rgb="FF0000FF"/>
      <name val="Arial"/>
      <family val="2"/>
    </font>
    <font>
      <b/>
      <sz val="11"/>
      <color rgb="FFFFFFFF"/>
      <name val="Calibri"/>
      <family val="2"/>
    </font>
    <font>
      <b/>
      <sz val="11"/>
      <color theme="1"/>
      <name val="Calibri"/>
      <family val="2"/>
    </font>
    <font>
      <sz val="11"/>
      <color rgb="FF0000FF"/>
      <name val="Calibri"/>
      <family val="2"/>
      <charset val="1"/>
    </font>
    <font>
      <b/>
      <sz val="11"/>
      <color rgb="FF0A5C65"/>
      <name val="Calibri"/>
      <family val="2"/>
    </font>
    <font>
      <b/>
      <sz val="11"/>
      <color rgb="FF0000FF"/>
      <name val="Calibri"/>
      <family val="2"/>
    </font>
    <font>
      <i/>
      <sz val="11"/>
      <color rgb="FF5C6B64"/>
      <name val="Calibri"/>
      <family val="2"/>
    </font>
    <font>
      <sz val="11"/>
      <color rgb="FF000000"/>
      <name val="Calibri"/>
      <family val="2"/>
      <charset val="1"/>
    </font>
    <font>
      <b/>
      <sz val="11"/>
      <color rgb="FF000000"/>
      <name val="Calibri"/>
      <family val="2"/>
    </font>
    <font>
      <sz val="10"/>
      <color rgb="FF000000"/>
      <name val="Arial"/>
      <family val="2"/>
    </font>
    <font>
      <b/>
      <sz val="9"/>
      <color rgb="FF000000"/>
      <name val="Arial"/>
      <family val="2"/>
    </font>
    <font>
      <sz val="11"/>
      <color rgb="FF000000"/>
      <name val="Calibri"/>
      <family val="2"/>
    </font>
    <font>
      <u/>
      <sz val="11"/>
      <color theme="10"/>
      <name val="Calibri"/>
      <family val="2"/>
      <charset val="1"/>
    </font>
    <font>
      <u/>
      <sz val="11"/>
      <color rgb="FF0A5E65"/>
      <name val="Calibri"/>
      <family val="2"/>
      <charset val="1"/>
    </font>
  </fonts>
  <fills count="8">
    <fill>
      <patternFill patternType="none"/>
    </fill>
    <fill>
      <patternFill patternType="gray125"/>
    </fill>
    <fill>
      <patternFill patternType="solid">
        <fgColor rgb="FF0A5C65"/>
        <bgColor rgb="FF008080"/>
      </patternFill>
    </fill>
    <fill>
      <patternFill patternType="solid">
        <fgColor rgb="FFFFF7E0"/>
        <bgColor rgb="FFFFFFFF"/>
      </patternFill>
    </fill>
    <fill>
      <patternFill patternType="solid">
        <fgColor rgb="FFEFE9DE"/>
        <bgColor rgb="FFE8F3F1"/>
      </patternFill>
    </fill>
    <fill>
      <patternFill patternType="solid">
        <fgColor rgb="FFFFF7E0"/>
        <bgColor rgb="FF008080"/>
      </patternFill>
    </fill>
    <fill>
      <patternFill patternType="solid">
        <fgColor rgb="FF0A5C65"/>
        <bgColor indexed="64"/>
      </patternFill>
    </fill>
    <fill>
      <patternFill patternType="solid">
        <fgColor rgb="FFFFF7E0"/>
        <bgColor indexed="64"/>
      </patternFill>
    </fill>
  </fills>
  <borders count="4">
    <border>
      <left/>
      <right/>
      <top/>
      <bottom/>
      <diagonal/>
    </border>
    <border>
      <left style="thin">
        <color rgb="FFD9D2C4"/>
      </left>
      <right style="thin">
        <color rgb="FFD9D2C4"/>
      </right>
      <top style="thin">
        <color rgb="FFD9D2C4"/>
      </top>
      <bottom style="thin">
        <color rgb="FFD9D2C4"/>
      </bottom>
      <diagonal/>
    </border>
    <border>
      <left/>
      <right/>
      <top/>
      <bottom style="thin">
        <color auto="1"/>
      </bottom>
      <diagonal/>
    </border>
    <border>
      <left/>
      <right/>
      <top style="thin">
        <color auto="1"/>
      </top>
      <bottom/>
      <diagonal/>
    </border>
  </borders>
  <cellStyleXfs count="2">
    <xf numFmtId="0" fontId="0" fillId="0" borderId="0"/>
    <xf numFmtId="0" fontId="31" fillId="0" borderId="0" applyNumberFormat="0" applyFill="0" applyBorder="0" applyAlignment="0" applyProtection="0"/>
  </cellStyleXfs>
  <cellXfs count="70">
    <xf numFmtId="0" fontId="0" fillId="0" borderId="0" xfId="0"/>
    <xf numFmtId="166" fontId="22" fillId="7" borderId="0" xfId="0" applyNumberFormat="1" applyFont="1" applyFill="1" applyProtection="1">
      <protection locked="0"/>
    </xf>
    <xf numFmtId="0" fontId="0" fillId="0" borderId="0" xfId="0" applyProtection="1">
      <protection locked="0"/>
    </xf>
    <xf numFmtId="0" fontId="9" fillId="0" borderId="0" xfId="0" applyFont="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8" fillId="0" borderId="0" xfId="0" applyFont="1" applyAlignment="1" applyProtection="1">
      <alignment horizontal="left" vertical="center" wrapText="1"/>
      <protection locked="0"/>
    </xf>
    <xf numFmtId="0" fontId="15" fillId="0" borderId="0" xfId="0" applyFont="1" applyAlignment="1" applyProtection="1">
      <alignment horizontal="left" vertical="center" wrapText="1"/>
      <protection locked="0"/>
    </xf>
    <xf numFmtId="0" fontId="7" fillId="0" borderId="0" xfId="0" applyFont="1" applyAlignment="1" applyProtection="1">
      <alignment horizontal="left" vertical="center" wrapText="1"/>
      <protection locked="0"/>
    </xf>
    <xf numFmtId="0" fontId="16" fillId="0" borderId="0" xfId="0" applyFont="1" applyAlignment="1" applyProtection="1">
      <alignment horizontal="left" vertical="center" wrapText="1"/>
      <protection locked="0"/>
    </xf>
    <xf numFmtId="0" fontId="17" fillId="0" borderId="0" xfId="0" applyFont="1" applyAlignment="1" applyProtection="1">
      <alignment horizontal="left" vertical="center" wrapText="1"/>
      <protection locked="0"/>
    </xf>
    <xf numFmtId="0" fontId="23" fillId="0" borderId="0" xfId="0" applyFont="1" applyProtection="1">
      <protection locked="0"/>
    </xf>
    <xf numFmtId="0" fontId="25" fillId="0" borderId="0" xfId="0" applyFont="1" applyProtection="1">
      <protection locked="0"/>
    </xf>
    <xf numFmtId="0" fontId="2" fillId="0" borderId="0" xfId="0" applyFont="1" applyAlignment="1" applyProtection="1">
      <alignment horizontal="left" vertical="center"/>
      <protection locked="0"/>
    </xf>
    <xf numFmtId="0" fontId="4" fillId="3" borderId="1" xfId="0" applyFont="1" applyFill="1" applyBorder="1" applyAlignment="1" applyProtection="1">
      <alignment horizontal="right" vertical="center"/>
      <protection locked="0"/>
    </xf>
    <xf numFmtId="0" fontId="5" fillId="0" borderId="2" xfId="0" applyFont="1" applyBorder="1" applyAlignment="1" applyProtection="1">
      <alignment horizontal="right" vertical="center"/>
      <protection locked="0"/>
    </xf>
    <xf numFmtId="0" fontId="7" fillId="0" borderId="0" xfId="0" applyFont="1" applyAlignment="1" applyProtection="1">
      <alignment horizontal="left" vertical="center"/>
      <protection locked="0"/>
    </xf>
    <xf numFmtId="165" fontId="3" fillId="2" borderId="0" xfId="0" applyNumberFormat="1" applyFont="1" applyFill="1" applyAlignment="1" applyProtection="1">
      <alignment horizontal="right" vertical="center"/>
      <protection locked="0"/>
    </xf>
    <xf numFmtId="164" fontId="4" fillId="3" borderId="1" xfId="0" applyNumberFormat="1" applyFont="1" applyFill="1" applyBorder="1" applyAlignment="1" applyProtection="1">
      <alignment horizontal="right" vertical="center"/>
      <protection locked="0"/>
    </xf>
    <xf numFmtId="166" fontId="9" fillId="0" borderId="0" xfId="0" applyNumberFormat="1" applyFont="1" applyAlignment="1" applyProtection="1">
      <alignment horizontal="right" vertical="center"/>
      <protection locked="0"/>
    </xf>
    <xf numFmtId="165" fontId="4" fillId="3" borderId="1" xfId="0" applyNumberFormat="1" applyFont="1" applyFill="1" applyBorder="1" applyAlignment="1" applyProtection="1">
      <alignment horizontal="right" vertical="center"/>
      <protection locked="0"/>
    </xf>
    <xf numFmtId="166" fontId="6" fillId="0" borderId="0" xfId="0" applyNumberFormat="1" applyFont="1" applyAlignment="1" applyProtection="1">
      <alignment horizontal="right" vertical="center"/>
      <protection locked="0"/>
    </xf>
    <xf numFmtId="3" fontId="4" fillId="3" borderId="1" xfId="0" applyNumberFormat="1" applyFont="1" applyFill="1" applyBorder="1" applyAlignment="1" applyProtection="1">
      <alignment horizontal="right" vertical="center"/>
      <protection locked="0"/>
    </xf>
    <xf numFmtId="167" fontId="4" fillId="3" borderId="1" xfId="0" applyNumberFormat="1" applyFont="1" applyFill="1" applyBorder="1" applyAlignment="1" applyProtection="1">
      <alignment horizontal="right" vertical="center"/>
      <protection locked="0"/>
    </xf>
    <xf numFmtId="169" fontId="6" fillId="0" borderId="0" xfId="0" applyNumberFormat="1" applyFont="1" applyAlignment="1" applyProtection="1">
      <alignment horizontal="right" vertical="center"/>
      <protection locked="0"/>
    </xf>
    <xf numFmtId="166" fontId="4" fillId="3" borderId="1" xfId="0" applyNumberFormat="1" applyFont="1" applyFill="1" applyBorder="1" applyAlignment="1" applyProtection="1">
      <alignment horizontal="right" vertical="center"/>
      <protection locked="0"/>
    </xf>
    <xf numFmtId="0" fontId="5" fillId="4" borderId="2" xfId="0" applyFont="1" applyFill="1" applyBorder="1" applyAlignment="1" applyProtection="1">
      <alignment horizontal="right" vertical="center"/>
      <protection locked="0"/>
    </xf>
    <xf numFmtId="167" fontId="2" fillId="0" borderId="0" xfId="0" applyNumberFormat="1" applyFont="1" applyAlignment="1" applyProtection="1">
      <alignment horizontal="right" vertical="center"/>
      <protection locked="0"/>
    </xf>
    <xf numFmtId="167" fontId="7" fillId="0" borderId="0" xfId="0" applyNumberFormat="1" applyFont="1" applyAlignment="1" applyProtection="1">
      <alignment horizontal="right" vertical="center"/>
      <protection locked="0"/>
    </xf>
    <xf numFmtId="167" fontId="7" fillId="0" borderId="3" xfId="0" applyNumberFormat="1" applyFont="1" applyBorder="1" applyAlignment="1" applyProtection="1">
      <alignment horizontal="right" vertical="center"/>
      <protection locked="0"/>
    </xf>
    <xf numFmtId="170" fontId="2" fillId="0" borderId="0" xfId="0" applyNumberFormat="1" applyFont="1" applyAlignment="1" applyProtection="1">
      <alignment horizontal="right" vertical="center"/>
      <protection locked="0"/>
    </xf>
    <xf numFmtId="170" fontId="6" fillId="0" borderId="0" xfId="0" applyNumberFormat="1" applyFont="1" applyAlignment="1" applyProtection="1">
      <alignment horizontal="right" vertical="center"/>
      <protection locked="0"/>
    </xf>
    <xf numFmtId="167" fontId="6" fillId="0" borderId="0" xfId="0" applyNumberFormat="1" applyFont="1" applyAlignment="1" applyProtection="1">
      <alignment horizontal="right" vertical="center"/>
      <protection locked="0"/>
    </xf>
    <xf numFmtId="168" fontId="6" fillId="0" borderId="0" xfId="0" applyNumberFormat="1" applyFont="1" applyAlignment="1" applyProtection="1">
      <alignment horizontal="right" vertical="center"/>
      <protection locked="0"/>
    </xf>
    <xf numFmtId="3" fontId="2" fillId="0" borderId="0" xfId="0" applyNumberFormat="1" applyFont="1" applyAlignment="1" applyProtection="1">
      <alignment horizontal="right" vertical="center"/>
      <protection locked="0"/>
    </xf>
    <xf numFmtId="0" fontId="12" fillId="0" borderId="0" xfId="0" applyFont="1" applyAlignment="1" applyProtection="1">
      <alignment horizontal="left" vertical="center"/>
      <protection locked="0"/>
    </xf>
    <xf numFmtId="0" fontId="5" fillId="4" borderId="1" xfId="0" applyFont="1" applyFill="1" applyBorder="1" applyAlignment="1" applyProtection="1">
      <alignment horizontal="center" vertical="center"/>
      <protection locked="0"/>
    </xf>
    <xf numFmtId="166" fontId="29" fillId="3" borderId="1" xfId="0" applyNumberFormat="1" applyFont="1" applyFill="1" applyBorder="1" applyAlignment="1" applyProtection="1">
      <alignment horizontal="center"/>
      <protection locked="0"/>
    </xf>
    <xf numFmtId="166" fontId="29" fillId="3" borderId="1" xfId="0" applyNumberFormat="1" applyFont="1" applyFill="1" applyBorder="1" applyAlignment="1" applyProtection="1">
      <alignment horizontal="right" vertical="center"/>
      <protection locked="0"/>
    </xf>
    <xf numFmtId="165" fontId="2" fillId="0" borderId="1" xfId="0" applyNumberFormat="1" applyFont="1" applyBorder="1" applyAlignment="1" applyProtection="1">
      <alignment horizontal="right" vertical="center"/>
      <protection locked="0"/>
    </xf>
    <xf numFmtId="165" fontId="3" fillId="2" borderId="1" xfId="0" applyNumberFormat="1" applyFont="1" applyFill="1" applyBorder="1" applyAlignment="1" applyProtection="1">
      <alignment horizontal="right" vertical="center"/>
      <protection locked="0"/>
    </xf>
    <xf numFmtId="0" fontId="21" fillId="0" borderId="0" xfId="0" applyFont="1" applyProtection="1">
      <protection locked="0"/>
    </xf>
    <xf numFmtId="166" fontId="21" fillId="0" borderId="0" xfId="0" applyNumberFormat="1" applyFont="1" applyProtection="1">
      <protection locked="0"/>
    </xf>
    <xf numFmtId="0" fontId="24" fillId="7" borderId="0" xfId="0" applyFont="1" applyFill="1" applyProtection="1">
      <protection locked="0"/>
    </xf>
    <xf numFmtId="166" fontId="26" fillId="0" borderId="0" xfId="0" applyNumberFormat="1" applyFont="1" applyProtection="1">
      <protection locked="0"/>
    </xf>
    <xf numFmtId="0" fontId="0" fillId="7" borderId="0" xfId="0" applyFill="1" applyProtection="1">
      <protection locked="0"/>
    </xf>
    <xf numFmtId="2" fontId="22" fillId="7" borderId="0" xfId="0" applyNumberFormat="1" applyFont="1" applyFill="1" applyProtection="1">
      <protection locked="0"/>
    </xf>
    <xf numFmtId="166" fontId="27" fillId="0" borderId="0" xfId="0" applyNumberFormat="1" applyFont="1" applyProtection="1">
      <protection locked="0"/>
    </xf>
    <xf numFmtId="171" fontId="22" fillId="7" borderId="0" xfId="0" applyNumberFormat="1" applyFont="1" applyFill="1" applyProtection="1">
      <protection locked="0"/>
    </xf>
    <xf numFmtId="166" fontId="28" fillId="0" borderId="1" xfId="0" applyNumberFormat="1" applyFont="1" applyBorder="1" applyAlignment="1" applyProtection="1">
      <alignment horizontal="right" vertical="center"/>
      <protection locked="0"/>
    </xf>
    <xf numFmtId="0" fontId="7" fillId="0" borderId="0" xfId="0" applyFont="1" applyAlignment="1" applyProtection="1">
      <alignment horizontal="right" vertical="center"/>
      <protection locked="0"/>
    </xf>
    <xf numFmtId="0" fontId="2" fillId="0" borderId="0" xfId="0" applyFont="1" applyAlignment="1" applyProtection="1">
      <alignment horizontal="right" vertical="center"/>
      <protection locked="0"/>
    </xf>
    <xf numFmtId="0" fontId="30" fillId="0" borderId="0" xfId="0" applyFont="1" applyProtection="1">
      <protection locked="0"/>
    </xf>
    <xf numFmtId="3" fontId="26" fillId="0" borderId="0" xfId="0" applyNumberFormat="1" applyFont="1" applyProtection="1">
      <protection locked="0"/>
    </xf>
    <xf numFmtId="0" fontId="32" fillId="0" borderId="0" xfId="1" applyFont="1" applyProtection="1">
      <protection locked="0"/>
    </xf>
    <xf numFmtId="0" fontId="0" fillId="6" borderId="0" xfId="0" applyFill="1"/>
    <xf numFmtId="0" fontId="20" fillId="6" borderId="0" xfId="0" applyFont="1" applyFill="1" applyProtection="1">
      <protection locked="0"/>
    </xf>
    <xf numFmtId="0" fontId="0" fillId="6" borderId="0" xfId="0" applyFill="1" applyProtection="1">
      <protection locked="0"/>
    </xf>
    <xf numFmtId="0" fontId="1" fillId="2" borderId="0" xfId="0" applyFont="1" applyFill="1" applyAlignment="1">
      <alignment horizontal="left" vertical="center"/>
    </xf>
    <xf numFmtId="0" fontId="11" fillId="2" borderId="0" xfId="0" applyFont="1" applyFill="1" applyAlignment="1">
      <alignment horizontal="left" vertical="center"/>
    </xf>
    <xf numFmtId="0" fontId="2" fillId="2" borderId="0" xfId="0" applyFont="1" applyFill="1" applyAlignment="1" applyProtection="1">
      <alignment horizontal="center" vertical="center"/>
      <protection locked="0"/>
    </xf>
    <xf numFmtId="0" fontId="18" fillId="2" borderId="0" xfId="0" applyFont="1" applyFill="1" applyAlignment="1" applyProtection="1">
      <alignment horizontal="center" vertical="center"/>
      <protection locked="0"/>
    </xf>
    <xf numFmtId="0" fontId="19" fillId="5" borderId="0" xfId="0" applyFont="1" applyFill="1" applyAlignment="1" applyProtection="1">
      <alignment horizontal="center" vertical="center"/>
      <protection locked="0"/>
    </xf>
    <xf numFmtId="0" fontId="13" fillId="0" borderId="0" xfId="0" applyFont="1" applyAlignment="1" applyProtection="1">
      <alignment horizontal="left" vertical="center" wrapText="1"/>
      <protection locked="0"/>
    </xf>
    <xf numFmtId="0" fontId="3" fillId="2" borderId="0" xfId="0" applyFont="1" applyFill="1" applyAlignment="1" applyProtection="1">
      <alignment horizontal="left" vertical="center"/>
      <protection locked="0"/>
    </xf>
    <xf numFmtId="0" fontId="24" fillId="7" borderId="0" xfId="0" applyFont="1" applyFill="1" applyAlignment="1" applyProtection="1">
      <alignment horizontal="center"/>
      <protection locked="0"/>
    </xf>
    <xf numFmtId="0" fontId="0" fillId="0" borderId="0" xfId="0" applyAlignment="1" applyProtection="1">
      <alignment horizontal="center"/>
      <protection locked="0"/>
    </xf>
    <xf numFmtId="0" fontId="4" fillId="3" borderId="1" xfId="0" applyFont="1" applyFill="1" applyBorder="1" applyAlignment="1" applyProtection="1">
      <alignment horizontal="right" vertical="center"/>
      <protection locked="0"/>
    </xf>
    <xf numFmtId="0" fontId="9" fillId="0" borderId="0" xfId="0" applyFont="1" applyAlignment="1" applyProtection="1">
      <alignment horizontal="left" vertical="center"/>
      <protection locked="0"/>
    </xf>
    <xf numFmtId="0" fontId="13" fillId="0" borderId="0" xfId="0" applyFont="1" applyAlignment="1" applyProtection="1">
      <alignment horizontal="left" vertical="center"/>
      <protection locked="0"/>
    </xf>
    <xf numFmtId="0" fontId="14" fillId="2" borderId="0" xfId="0" applyFont="1" applyFill="1" applyAlignment="1">
      <alignment horizontal="left" vertical="center" wrapText="1"/>
    </xf>
  </cellXfs>
  <cellStyles count="2">
    <cellStyle name="Hyperlink" xfId="1" builtinId="8"/>
    <cellStyle name="Normal"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A5C65"/>
      <rgbColor rgb="FFD9D2C4"/>
      <rgbColor rgb="FF808080"/>
      <rgbColor rgb="FF9999FF"/>
      <rgbColor rgb="FF993366"/>
      <rgbColor rgb="FFFFF7E0"/>
      <rgbColor rgb="FFE8F3F1"/>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EFE9DE"/>
      <rgbColor rgb="FFFFFF99"/>
      <rgbColor rgb="FF99CCFF"/>
      <rgbColor rgb="FFFF99CC"/>
      <rgbColor rgb="FFCC99FF"/>
      <rgbColor rgb="FFFFCC99"/>
      <rgbColor rgb="FF3366FF"/>
      <rgbColor rgb="FF33CCCC"/>
      <rgbColor rgb="FF99CC00"/>
      <rgbColor rgb="FFFFCC00"/>
      <rgbColor rgb="FFFF9900"/>
      <rgbColor rgb="FFFF6600"/>
      <rgbColor rgb="FF5C6B64"/>
      <rgbColor rgb="FF969696"/>
      <rgbColor rgb="FF0A2540"/>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5167312</xdr:colOff>
      <xdr:row>0</xdr:row>
      <xdr:rowOff>88900</xdr:rowOff>
    </xdr:from>
    <xdr:to>
      <xdr:col>2</xdr:col>
      <xdr:colOff>6462712</xdr:colOff>
      <xdr:row>1</xdr:row>
      <xdr:rowOff>117475</xdr:rowOff>
    </xdr:to>
    <xdr:pic>
      <xdr:nvPicPr>
        <xdr:cNvPr id="4" name="Graphic 3">
          <a:extLst>
            <a:ext uri="{FF2B5EF4-FFF2-40B4-BE49-F238E27FC236}">
              <a16:creationId xmlns:a16="http://schemas.microsoft.com/office/drawing/2014/main" id="{6A0BA51C-686F-2677-4199-3E185C2E137F}"/>
            </a:ext>
          </a:extLst>
        </xdr:cNvPr>
        <xdr:cNvPicPr>
          <a:picLocks/>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6524625" y="88900"/>
          <a:ext cx="1295400" cy="381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209550</xdr:colOff>
      <xdr:row>0</xdr:row>
      <xdr:rowOff>88900</xdr:rowOff>
    </xdr:from>
    <xdr:to>
      <xdr:col>9</xdr:col>
      <xdr:colOff>676275</xdr:colOff>
      <xdr:row>1</xdr:row>
      <xdr:rowOff>117475</xdr:rowOff>
    </xdr:to>
    <xdr:pic>
      <xdr:nvPicPr>
        <xdr:cNvPr id="4" name="Graphic 3">
          <a:extLst>
            <a:ext uri="{FF2B5EF4-FFF2-40B4-BE49-F238E27FC236}">
              <a16:creationId xmlns:a16="http://schemas.microsoft.com/office/drawing/2014/main" id="{EE6629F7-A1CF-FA78-964A-A3271504858A}"/>
            </a:ext>
          </a:extLst>
        </xdr:cNvPr>
        <xdr:cNvPicPr>
          <a:picLocks/>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8734425" y="88900"/>
          <a:ext cx="1295400" cy="381000"/>
        </a:xfrm>
        <a:prstGeom prst="rect">
          <a:avLst/>
        </a:prstGeom>
      </xdr:spPr>
    </xdr:pic>
    <xdr:clientData/>
  </xdr:twoCellAnchor>
</xdr:wsDr>
</file>

<file path=xl/theme/theme1.xml><?xml version="1.0" encoding="utf-8"?>
<a:theme xmlns:a="http://schemas.openxmlformats.org/drawingml/2006/main"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majorFont>
      <a:minorFont>
        <a:latin typeface="Calibri"/>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a:gradFill>
        <a:gradFill>
          <a:gsLst>
            <a:gs pos="0">
              <a:schemeClr val="phClr">
                <a:shade val="51000"/>
              </a:schemeClr>
            </a:gs>
            <a:gs pos="80000">
              <a:schemeClr val="phClr">
                <a:shade val="93000"/>
              </a:schemeClr>
            </a:gs>
            <a:gs pos="100000">
              <a:schemeClr val="phClr">
                <a:shade val="94000"/>
              </a:schemeClr>
            </a:gs>
          </a:gsLst>
          <a:lin ang="16200000" scaled="0"/>
          <a:tileRect/>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a:gradFill>
        <a:gradFill>
          <a:gsLst>
            <a:gs pos="0">
              <a:schemeClr val="phClr">
                <a:tint val="80000"/>
              </a:schemeClr>
            </a:gs>
            <a:gs pos="100000">
              <a:schemeClr val="phClr">
                <a:shade val="3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pages.stern.nyu.edu/~adamodar/New_Home_Page/datafile/ctryprem.html"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C24"/>
  <sheetViews>
    <sheetView showGridLines="0" zoomScaleNormal="100" workbookViewId="0">
      <selection sqref="A1:C1"/>
    </sheetView>
  </sheetViews>
  <sheetFormatPr defaultColWidth="8.6640625" defaultRowHeight="14.25" x14ac:dyDescent="0.45"/>
  <cols>
    <col min="1" max="1" width="3.1328125" style="2" customWidth="1"/>
    <col min="2" max="2" width="15.86328125" style="2" bestFit="1" customWidth="1"/>
    <col min="3" max="3" width="92.59765625" style="2" customWidth="1"/>
    <col min="4" max="16384" width="8.6640625" style="2"/>
  </cols>
  <sheetData>
    <row r="1" spans="1:3" customFormat="1" ht="28.05" customHeight="1" x14ac:dyDescent="0.45">
      <c r="A1" s="69" t="s">
        <v>74</v>
      </c>
      <c r="B1" s="69"/>
      <c r="C1" s="69"/>
    </row>
    <row r="2" spans="1:3" customFormat="1" ht="16.05" customHeight="1" x14ac:dyDescent="0.45">
      <c r="A2" s="54"/>
      <c r="B2" s="54"/>
      <c r="C2" s="54"/>
    </row>
    <row r="3" spans="1:3" ht="30" customHeight="1" x14ac:dyDescent="0.45">
      <c r="B3" s="3" t="s">
        <v>75</v>
      </c>
      <c r="C3" s="4" t="s">
        <v>76</v>
      </c>
    </row>
    <row r="4" spans="1:3" ht="30" customHeight="1" x14ac:dyDescent="0.45">
      <c r="B4" s="3" t="s">
        <v>77</v>
      </c>
      <c r="C4" s="4" t="s">
        <v>134</v>
      </c>
    </row>
    <row r="5" spans="1:3" ht="30" customHeight="1" x14ac:dyDescent="0.45">
      <c r="B5" s="3" t="s">
        <v>78</v>
      </c>
      <c r="C5" s="4" t="s">
        <v>79</v>
      </c>
    </row>
    <row r="6" spans="1:3" ht="38.25" x14ac:dyDescent="0.45">
      <c r="B6" s="3" t="s">
        <v>80</v>
      </c>
      <c r="C6" s="4" t="s">
        <v>135</v>
      </c>
    </row>
    <row r="7" spans="1:3" ht="16.5" customHeight="1" x14ac:dyDescent="0.45">
      <c r="B7" s="3" t="s">
        <v>81</v>
      </c>
      <c r="C7" s="4" t="s">
        <v>82</v>
      </c>
    </row>
    <row r="8" spans="1:3" ht="38.25" x14ac:dyDescent="0.45">
      <c r="B8" s="3" t="s">
        <v>83</v>
      </c>
      <c r="C8" s="4" t="s">
        <v>136</v>
      </c>
    </row>
    <row r="9" spans="1:3" ht="16.5" customHeight="1" x14ac:dyDescent="0.45"/>
    <row r="10" spans="1:3" ht="16.5" customHeight="1" x14ac:dyDescent="0.45">
      <c r="B10" s="5" t="s">
        <v>84</v>
      </c>
    </row>
    <row r="11" spans="1:3" ht="16.5" customHeight="1" x14ac:dyDescent="0.45">
      <c r="B11" s="6" t="s">
        <v>85</v>
      </c>
      <c r="C11" s="4" t="s">
        <v>86</v>
      </c>
    </row>
    <row r="12" spans="1:3" ht="16.5" customHeight="1" x14ac:dyDescent="0.45">
      <c r="B12" s="7" t="s">
        <v>87</v>
      </c>
      <c r="C12" s="4" t="s">
        <v>88</v>
      </c>
    </row>
    <row r="13" spans="1:3" ht="16.5" customHeight="1" x14ac:dyDescent="0.45"/>
    <row r="14" spans="1:3" ht="16.5" customHeight="1" x14ac:dyDescent="0.45">
      <c r="B14" s="5" t="s">
        <v>89</v>
      </c>
    </row>
    <row r="15" spans="1:3" ht="16.5" customHeight="1" x14ac:dyDescent="0.45">
      <c r="B15" s="3" t="s">
        <v>29</v>
      </c>
      <c r="C15" s="4" t="s">
        <v>90</v>
      </c>
    </row>
    <row r="16" spans="1:3" ht="16.5" customHeight="1" x14ac:dyDescent="0.45">
      <c r="B16" s="3" t="s">
        <v>91</v>
      </c>
      <c r="C16" s="4" t="s">
        <v>137</v>
      </c>
    </row>
    <row r="17" spans="2:3" ht="16.5" customHeight="1" x14ac:dyDescent="0.45">
      <c r="B17" s="3" t="s">
        <v>18</v>
      </c>
      <c r="C17" s="4" t="s">
        <v>92</v>
      </c>
    </row>
    <row r="18" spans="2:3" ht="16.5" customHeight="1" x14ac:dyDescent="0.45">
      <c r="B18" s="3" t="s">
        <v>19</v>
      </c>
      <c r="C18" s="4" t="s">
        <v>93</v>
      </c>
    </row>
    <row r="19" spans="2:3" ht="16.5" customHeight="1" x14ac:dyDescent="0.45">
      <c r="B19" s="3" t="s">
        <v>36</v>
      </c>
      <c r="C19" s="4" t="s">
        <v>94</v>
      </c>
    </row>
    <row r="20" spans="2:3" ht="16.5" customHeight="1" x14ac:dyDescent="0.45"/>
    <row r="21" spans="2:3" ht="25.5" x14ac:dyDescent="0.45">
      <c r="B21" s="8" t="s">
        <v>95</v>
      </c>
      <c r="C21" s="9" t="s">
        <v>96</v>
      </c>
    </row>
    <row r="22" spans="2:3" ht="16.5" customHeight="1" x14ac:dyDescent="0.45"/>
    <row r="23" spans="2:3" ht="16.5" customHeight="1" x14ac:dyDescent="0.45">
      <c r="B23" s="10" t="s">
        <v>138</v>
      </c>
      <c r="C23" s="2" t="s">
        <v>139</v>
      </c>
    </row>
    <row r="24" spans="2:3" ht="16.5" customHeight="1" x14ac:dyDescent="0.45">
      <c r="B24" s="10" t="s">
        <v>140</v>
      </c>
      <c r="C24" s="2" t="s">
        <v>141</v>
      </c>
    </row>
  </sheetData>
  <sheetProtection sheet="1" objects="1" scenarios="1" formatCells="0" formatColumns="0" formatRows="0" insertColumns="0" insertRows="0" insertHyperlinks="0" deleteColumns="0" deleteRows="0" sort="0" autoFilter="0" pivotTables="0"/>
  <mergeCells count="1">
    <mergeCell ref="A1:C1"/>
  </mergeCells>
  <pageMargins left="0.75" right="0.75" top="1" bottom="1" header="0.511811023622047" footer="0.511811023622047"/>
  <pageSetup paperSize="9" scale="88" fitToHeight="0" orientation="landscape" horizontalDpi="300" verticalDpi="300"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109"/>
  <sheetViews>
    <sheetView showGridLines="0" tabSelected="1" zoomScale="85" zoomScaleNormal="85" workbookViewId="0">
      <pane ySplit="4" topLeftCell="A14" activePane="bottomLeft" state="frozen"/>
      <selection pane="bottomLeft" activeCell="C14" sqref="C14:D14"/>
    </sheetView>
  </sheetViews>
  <sheetFormatPr defaultColWidth="8.6640625" defaultRowHeight="14.25" x14ac:dyDescent="0.45"/>
  <cols>
    <col min="1" max="1" width="3.1328125" style="2" customWidth="1"/>
    <col min="2" max="2" width="46.59765625" style="2" customWidth="1"/>
    <col min="3" max="10" width="11.59765625" style="2" customWidth="1"/>
    <col min="11" max="11" width="2.265625" style="2" customWidth="1"/>
    <col min="12" max="16384" width="8.6640625" style="2"/>
  </cols>
  <sheetData>
    <row r="1" spans="1:10" customFormat="1" ht="28.05" customHeight="1" x14ac:dyDescent="0.45">
      <c r="A1" s="57" t="s">
        <v>97</v>
      </c>
      <c r="B1" s="57"/>
      <c r="C1" s="57"/>
      <c r="D1" s="57"/>
      <c r="E1" s="57"/>
      <c r="F1" s="57"/>
      <c r="G1" s="57"/>
      <c r="H1" s="57"/>
      <c r="I1" s="57"/>
      <c r="J1" s="57"/>
    </row>
    <row r="2" spans="1:10" customFormat="1" ht="16.05" customHeight="1" x14ac:dyDescent="0.45">
      <c r="A2" s="58" t="s">
        <v>98</v>
      </c>
      <c r="B2" s="58"/>
      <c r="C2" s="58"/>
      <c r="D2" s="58"/>
      <c r="E2" s="58"/>
      <c r="F2" s="58"/>
      <c r="G2" s="58"/>
      <c r="H2" s="58"/>
      <c r="I2" s="58"/>
      <c r="J2" s="58"/>
    </row>
    <row r="3" spans="1:10" ht="3.75" customHeight="1" x14ac:dyDescent="0.45">
      <c r="A3" s="59"/>
      <c r="B3" s="60"/>
      <c r="C3" s="61"/>
      <c r="D3" s="59"/>
      <c r="E3" s="59"/>
      <c r="F3" s="59"/>
      <c r="G3" s="59"/>
      <c r="H3" s="59"/>
      <c r="I3" s="59"/>
      <c r="J3" s="59"/>
    </row>
    <row r="4" spans="1:10" ht="21.75" customHeight="1" x14ac:dyDescent="0.45">
      <c r="B4" s="62" t="s">
        <v>30</v>
      </c>
      <c r="C4" s="62"/>
      <c r="D4" s="62"/>
      <c r="E4" s="62"/>
      <c r="F4" s="62"/>
      <c r="G4" s="62"/>
      <c r="H4" s="62"/>
      <c r="I4" s="62"/>
      <c r="J4" s="62"/>
    </row>
    <row r="5" spans="1:10" x14ac:dyDescent="0.45">
      <c r="B5" s="10" t="s">
        <v>107</v>
      </c>
      <c r="C5" s="64" t="s">
        <v>28</v>
      </c>
      <c r="D5" s="65"/>
      <c r="E5" s="11" t="s">
        <v>108</v>
      </c>
    </row>
    <row r="6" spans="1:10" ht="16.5" customHeight="1" x14ac:dyDescent="0.45">
      <c r="B6" s="63" t="s">
        <v>31</v>
      </c>
      <c r="C6" s="63"/>
      <c r="D6" s="63"/>
      <c r="E6" s="63"/>
      <c r="F6" s="63"/>
      <c r="G6" s="63"/>
      <c r="H6" s="63"/>
      <c r="I6" s="63"/>
      <c r="J6" s="63"/>
    </row>
    <row r="7" spans="1:10" ht="16.5" customHeight="1" x14ac:dyDescent="0.45">
      <c r="B7" s="12" t="s">
        <v>32</v>
      </c>
      <c r="C7" s="66" t="s">
        <v>0</v>
      </c>
      <c r="D7" s="66"/>
      <c r="G7" s="14" t="s">
        <v>33</v>
      </c>
      <c r="H7" s="14" t="s">
        <v>34</v>
      </c>
      <c r="I7" s="14" t="s">
        <v>35</v>
      </c>
    </row>
    <row r="8" spans="1:10" ht="16.5" customHeight="1" x14ac:dyDescent="0.45">
      <c r="B8" s="12" t="s">
        <v>1</v>
      </c>
      <c r="C8" s="13" t="s">
        <v>2</v>
      </c>
      <c r="F8" s="49" t="s">
        <v>36</v>
      </c>
      <c r="G8" s="16">
        <f>G68</f>
        <v>32.743545597720768</v>
      </c>
      <c r="H8" s="16">
        <f>H68</f>
        <v>37.40324378579777</v>
      </c>
      <c r="I8" s="16">
        <f>I68</f>
        <v>43.763666935689599</v>
      </c>
    </row>
    <row r="9" spans="1:10" ht="16.5" customHeight="1" x14ac:dyDescent="0.45">
      <c r="B9" s="12" t="s">
        <v>3</v>
      </c>
      <c r="C9" s="17">
        <v>46206</v>
      </c>
      <c r="F9" s="50" t="s">
        <v>21</v>
      </c>
      <c r="G9" s="18">
        <f>G8/$C$10-1</f>
        <v>9.1451519924025559E-2</v>
      </c>
      <c r="H9" s="18">
        <f>H8/$C$10-1</f>
        <v>0.24677479285992576</v>
      </c>
      <c r="I9" s="18">
        <f>I8/$C$10-1</f>
        <v>0.45878889785631993</v>
      </c>
    </row>
    <row r="10" spans="1:10" ht="16.5" customHeight="1" x14ac:dyDescent="0.45">
      <c r="B10" s="12" t="s">
        <v>4</v>
      </c>
      <c r="C10" s="19">
        <v>30</v>
      </c>
      <c r="F10" s="50" t="s">
        <v>37</v>
      </c>
      <c r="G10" s="20">
        <f t="shared" ref="G10:I11" si="0">G22</f>
        <v>9.4281250000000025E-2</v>
      </c>
      <c r="H10" s="20">
        <f t="shared" si="0"/>
        <v>8.928125000000002E-2</v>
      </c>
      <c r="I10" s="20">
        <f t="shared" si="0"/>
        <v>8.4281250000000016E-2</v>
      </c>
    </row>
    <row r="11" spans="1:10" ht="16.5" customHeight="1" x14ac:dyDescent="0.45">
      <c r="B11" s="12" t="s">
        <v>5</v>
      </c>
      <c r="C11" s="21">
        <v>100</v>
      </c>
      <c r="F11" s="50" t="s">
        <v>38</v>
      </c>
      <c r="G11" s="20">
        <f t="shared" si="0"/>
        <v>0.02</v>
      </c>
      <c r="H11" s="20">
        <f t="shared" si="0"/>
        <v>2.5000000000000001E-2</v>
      </c>
      <c r="I11" s="20">
        <f t="shared" si="0"/>
        <v>0.03</v>
      </c>
    </row>
    <row r="12" spans="1:10" ht="16.5" customHeight="1" x14ac:dyDescent="0.45">
      <c r="B12" s="12" t="s">
        <v>39</v>
      </c>
      <c r="C12" s="22">
        <v>100</v>
      </c>
      <c r="F12" s="50" t="s">
        <v>133</v>
      </c>
      <c r="G12" s="20">
        <f>G59/G62</f>
        <v>0.75235354287807021</v>
      </c>
      <c r="H12" s="20">
        <f>H59/H62</f>
        <v>0.77981188364577736</v>
      </c>
      <c r="I12" s="20">
        <f>I59/I62</f>
        <v>0.80883127816042233</v>
      </c>
    </row>
    <row r="13" spans="1:10" ht="16.5" customHeight="1" x14ac:dyDescent="0.45">
      <c r="B13" s="12" t="s">
        <v>40</v>
      </c>
      <c r="C13" s="22">
        <v>200</v>
      </c>
      <c r="F13" s="50" t="s">
        <v>41</v>
      </c>
      <c r="G13" s="23">
        <f>G69</f>
        <v>8.4833463115166818</v>
      </c>
      <c r="H13" s="23">
        <f>H69</f>
        <v>9.8030696074259396</v>
      </c>
      <c r="I13" s="23">
        <f>I69</f>
        <v>11.609046737176254</v>
      </c>
    </row>
    <row r="14" spans="1:10" ht="16.5" customHeight="1" x14ac:dyDescent="0.45">
      <c r="B14" s="15" t="s">
        <v>42</v>
      </c>
      <c r="C14" s="67" t="str">
        <f>IF(H68&gt;C10*1.15,"Undervalued",IF(H68&lt;C10*0.85,"Overvalued","Fairly valued"))</f>
        <v>Undervalued</v>
      </c>
      <c r="D14" s="67"/>
    </row>
    <row r="15" spans="1:10" ht="16.5" customHeight="1" x14ac:dyDescent="0.45">
      <c r="B15" s="12" t="s">
        <v>43</v>
      </c>
      <c r="C15" s="20">
        <f>(I29/E29)^(1/4)-1</f>
        <v>8.9770587159173632E-2</v>
      </c>
    </row>
    <row r="16" spans="1:10" ht="16.5" customHeight="1" x14ac:dyDescent="0.45">
      <c r="B16" s="12" t="s">
        <v>44</v>
      </c>
      <c r="C16" s="20">
        <f>(I32/E32)^(1/4)-1</f>
        <v>0.11094106658987801</v>
      </c>
    </row>
    <row r="17" spans="2:10" ht="16.5" customHeight="1" x14ac:dyDescent="0.45">
      <c r="B17" s="12" t="s">
        <v>45</v>
      </c>
      <c r="C17" s="20">
        <f>(I50/E50)^(1/4)-1</f>
        <v>0.13919530411178993</v>
      </c>
    </row>
    <row r="18" spans="2:10" ht="16.5" customHeight="1" x14ac:dyDescent="0.45">
      <c r="B18" s="12" t="s">
        <v>46</v>
      </c>
      <c r="C18" s="20">
        <f>AVERAGE(E31:I31)</f>
        <v>0.25800000000000001</v>
      </c>
    </row>
    <row r="19" spans="2:10" ht="16.5" customHeight="1" x14ac:dyDescent="0.45"/>
    <row r="20" spans="2:10" ht="16.5" customHeight="1" x14ac:dyDescent="0.45">
      <c r="B20" s="63" t="s">
        <v>47</v>
      </c>
      <c r="C20" s="63"/>
      <c r="D20" s="63"/>
      <c r="E20" s="63"/>
      <c r="F20" s="63"/>
      <c r="G20" s="63"/>
      <c r="H20" s="63"/>
      <c r="I20" s="63"/>
      <c r="J20" s="63"/>
    </row>
    <row r="21" spans="2:10" ht="16.5" customHeight="1" x14ac:dyDescent="0.45">
      <c r="G21" s="14" t="s">
        <v>33</v>
      </c>
      <c r="H21" s="14" t="s">
        <v>34</v>
      </c>
      <c r="I21" s="14" t="s">
        <v>35</v>
      </c>
    </row>
    <row r="22" spans="2:10" ht="16.5" customHeight="1" x14ac:dyDescent="0.45">
      <c r="B22" s="12" t="s">
        <v>7</v>
      </c>
      <c r="G22" s="48">
        <f>H22+0.005</f>
        <v>9.4281250000000025E-2</v>
      </c>
      <c r="H22" s="48">
        <f>C104</f>
        <v>8.928125000000002E-2</v>
      </c>
      <c r="I22" s="48">
        <f>H22-0.005</f>
        <v>8.4281250000000016E-2</v>
      </c>
    </row>
    <row r="23" spans="2:10" ht="16.5" customHeight="1" x14ac:dyDescent="0.45">
      <c r="B23" s="12" t="s">
        <v>48</v>
      </c>
      <c r="G23" s="24">
        <v>0.02</v>
      </c>
      <c r="H23" s="24">
        <v>2.5000000000000001E-2</v>
      </c>
      <c r="I23" s="24">
        <v>0.03</v>
      </c>
    </row>
    <row r="24" spans="2:10" ht="16.5" customHeight="1" x14ac:dyDescent="0.45">
      <c r="B24" s="12" t="s">
        <v>49</v>
      </c>
      <c r="C24" s="24">
        <v>0.21</v>
      </c>
    </row>
    <row r="25" spans="2:10" ht="16.5" customHeight="1" x14ac:dyDescent="0.45">
      <c r="B25" s="68" t="s">
        <v>50</v>
      </c>
      <c r="C25" s="68"/>
      <c r="D25" s="68"/>
      <c r="E25" s="68"/>
      <c r="F25" s="68"/>
    </row>
    <row r="26" spans="2:10" ht="16.5" customHeight="1" x14ac:dyDescent="0.45"/>
    <row r="27" spans="2:10" ht="16.5" customHeight="1" x14ac:dyDescent="0.45">
      <c r="B27" s="63" t="s">
        <v>51</v>
      </c>
      <c r="C27" s="63"/>
      <c r="D27" s="63"/>
      <c r="E27" s="63"/>
      <c r="F27" s="63"/>
      <c r="G27" s="63"/>
      <c r="H27" s="63"/>
      <c r="I27" s="63"/>
      <c r="J27" s="63"/>
    </row>
    <row r="28" spans="2:10" ht="16.5" customHeight="1" x14ac:dyDescent="0.45">
      <c r="C28" s="25" t="s">
        <v>52</v>
      </c>
      <c r="D28" s="25" t="s">
        <v>53</v>
      </c>
      <c r="E28" s="25" t="s">
        <v>8</v>
      </c>
      <c r="F28" s="25" t="s">
        <v>9</v>
      </c>
      <c r="G28" s="25" t="s">
        <v>10</v>
      </c>
      <c r="H28" s="25" t="s">
        <v>11</v>
      </c>
      <c r="I28" s="25" t="s">
        <v>12</v>
      </c>
      <c r="J28" s="25" t="s">
        <v>54</v>
      </c>
    </row>
    <row r="29" spans="2:10" ht="16.5" customHeight="1" x14ac:dyDescent="0.45">
      <c r="B29" s="12" t="s">
        <v>14</v>
      </c>
      <c r="C29" s="22">
        <v>800</v>
      </c>
      <c r="D29" s="22">
        <v>1000</v>
      </c>
      <c r="E29" s="26">
        <f>D29*(1+E30+$F$84)</f>
        <v>1150</v>
      </c>
      <c r="F29" s="26">
        <f>E29*(1+F30+$F$84)</f>
        <v>1288.0000000000002</v>
      </c>
      <c r="G29" s="26">
        <f>F29*(1+G30+$F$84)</f>
        <v>1416.8000000000004</v>
      </c>
      <c r="H29" s="26">
        <f>G29*(1+H30+$F$84)</f>
        <v>1530.1440000000005</v>
      </c>
      <c r="I29" s="26">
        <f>H29*(1+I30+$F$84)</f>
        <v>1621.9526400000007</v>
      </c>
      <c r="J29" s="26">
        <f>I29*(1+H23)</f>
        <v>1662.5014560000004</v>
      </c>
    </row>
    <row r="30" spans="2:10" ht="16.5" customHeight="1" x14ac:dyDescent="0.45">
      <c r="B30" s="12" t="s">
        <v>13</v>
      </c>
      <c r="D30" s="20">
        <f>D29/C29-1</f>
        <v>0.25</v>
      </c>
      <c r="E30" s="24">
        <v>0.15</v>
      </c>
      <c r="F30" s="24">
        <v>0.12</v>
      </c>
      <c r="G30" s="24">
        <v>0.1</v>
      </c>
      <c r="H30" s="24">
        <v>0.08</v>
      </c>
      <c r="I30" s="24">
        <v>0.06</v>
      </c>
      <c r="J30" s="20">
        <f>H23</f>
        <v>2.5000000000000001E-2</v>
      </c>
    </row>
    <row r="31" spans="2:10" ht="16.5" customHeight="1" x14ac:dyDescent="0.45">
      <c r="B31" s="12" t="s">
        <v>55</v>
      </c>
      <c r="C31" s="24">
        <v>0.24</v>
      </c>
      <c r="D31" s="24">
        <v>0.25</v>
      </c>
      <c r="E31" s="24">
        <v>0.25</v>
      </c>
      <c r="F31" s="24">
        <v>0.25</v>
      </c>
      <c r="G31" s="24">
        <v>0.26</v>
      </c>
      <c r="H31" s="24">
        <v>0.26</v>
      </c>
      <c r="I31" s="24">
        <v>0.27</v>
      </c>
      <c r="J31" s="24">
        <v>0.27</v>
      </c>
    </row>
    <row r="32" spans="2:10" ht="16.5" customHeight="1" x14ac:dyDescent="0.45">
      <c r="B32" s="12" t="s">
        <v>56</v>
      </c>
      <c r="C32" s="26">
        <f t="shared" ref="C32:D32" si="1">C29*C31</f>
        <v>192</v>
      </c>
      <c r="D32" s="26">
        <f t="shared" si="1"/>
        <v>250</v>
      </c>
      <c r="E32" s="26">
        <f t="shared" ref="E32:J32" si="2">E29*(E31+$F$85)</f>
        <v>287.5</v>
      </c>
      <c r="F32" s="26">
        <f t="shared" si="2"/>
        <v>322.00000000000006</v>
      </c>
      <c r="G32" s="26">
        <f t="shared" si="2"/>
        <v>368.36800000000011</v>
      </c>
      <c r="H32" s="26">
        <f t="shared" si="2"/>
        <v>397.83744000000013</v>
      </c>
      <c r="I32" s="26">
        <f t="shared" si="2"/>
        <v>437.92721280000023</v>
      </c>
      <c r="J32" s="26">
        <f t="shared" si="2"/>
        <v>448.87539312000013</v>
      </c>
    </row>
    <row r="33" spans="2:10" ht="16.5" customHeight="1" x14ac:dyDescent="0.45">
      <c r="B33" s="12" t="s">
        <v>22</v>
      </c>
      <c r="C33" s="24">
        <v>0.05</v>
      </c>
      <c r="D33" s="24">
        <v>0.05</v>
      </c>
      <c r="E33" s="24">
        <v>0.05</v>
      </c>
      <c r="F33" s="24">
        <v>0.05</v>
      </c>
      <c r="G33" s="24">
        <v>0.05</v>
      </c>
      <c r="H33" s="24">
        <v>0.05</v>
      </c>
      <c r="I33" s="24">
        <v>0.05</v>
      </c>
      <c r="J33" s="24">
        <v>0.05</v>
      </c>
    </row>
    <row r="34" spans="2:10" ht="16.5" customHeight="1" x14ac:dyDescent="0.45">
      <c r="B34" s="12" t="s">
        <v>57</v>
      </c>
      <c r="C34" s="26">
        <f t="shared" ref="C34:D34" si="3">C29*C33</f>
        <v>40</v>
      </c>
      <c r="D34" s="26">
        <f t="shared" si="3"/>
        <v>50</v>
      </c>
      <c r="E34" s="26">
        <f t="shared" ref="E34:J34" si="4">E29*(E33+$F$88)</f>
        <v>57.5</v>
      </c>
      <c r="F34" s="26">
        <f t="shared" si="4"/>
        <v>64.40000000000002</v>
      </c>
      <c r="G34" s="26">
        <f t="shared" si="4"/>
        <v>70.840000000000018</v>
      </c>
      <c r="H34" s="26">
        <f t="shared" si="4"/>
        <v>76.507200000000026</v>
      </c>
      <c r="I34" s="26">
        <f t="shared" si="4"/>
        <v>81.097632000000033</v>
      </c>
      <c r="J34" s="26">
        <f t="shared" si="4"/>
        <v>83.125072800000027</v>
      </c>
    </row>
    <row r="35" spans="2:10" ht="16.5" customHeight="1" x14ac:dyDescent="0.45">
      <c r="B35" s="12" t="s">
        <v>23</v>
      </c>
      <c r="C35" s="24">
        <v>0.05</v>
      </c>
      <c r="D35" s="24">
        <v>0.05</v>
      </c>
      <c r="E35" s="24">
        <v>0.05</v>
      </c>
      <c r="F35" s="24">
        <v>0.05</v>
      </c>
      <c r="G35" s="24">
        <v>0.05</v>
      </c>
      <c r="H35" s="24">
        <v>0.05</v>
      </c>
      <c r="I35" s="24">
        <v>0.05</v>
      </c>
      <c r="J35" s="24">
        <v>0.05</v>
      </c>
    </row>
    <row r="36" spans="2:10" ht="16.5" customHeight="1" x14ac:dyDescent="0.45">
      <c r="B36" s="12" t="s">
        <v>58</v>
      </c>
      <c r="C36" s="26">
        <f t="shared" ref="C36:D36" si="5">C29*C35</f>
        <v>40</v>
      </c>
      <c r="D36" s="26">
        <f t="shared" si="5"/>
        <v>50</v>
      </c>
      <c r="E36" s="26">
        <f t="shared" ref="E36:J36" si="6">E29*(E35+$F$86)</f>
        <v>57.5</v>
      </c>
      <c r="F36" s="26">
        <f t="shared" si="6"/>
        <v>64.40000000000002</v>
      </c>
      <c r="G36" s="26">
        <f t="shared" si="6"/>
        <v>70.840000000000018</v>
      </c>
      <c r="H36" s="26">
        <f t="shared" si="6"/>
        <v>76.507200000000026</v>
      </c>
      <c r="I36" s="26">
        <f t="shared" si="6"/>
        <v>81.097632000000033</v>
      </c>
      <c r="J36" s="26">
        <f t="shared" si="6"/>
        <v>83.125072800000027</v>
      </c>
    </row>
    <row r="37" spans="2:10" ht="16.5" customHeight="1" x14ac:dyDescent="0.45">
      <c r="B37" s="12" t="s">
        <v>59</v>
      </c>
      <c r="C37" s="24">
        <v>0.15</v>
      </c>
      <c r="D37" s="24">
        <v>0.15</v>
      </c>
      <c r="E37" s="24">
        <v>0.15</v>
      </c>
      <c r="F37" s="24">
        <v>0.15</v>
      </c>
      <c r="G37" s="24">
        <v>0.15</v>
      </c>
      <c r="H37" s="24">
        <v>0.15</v>
      </c>
      <c r="I37" s="24">
        <v>0.15</v>
      </c>
      <c r="J37" s="24">
        <v>0.15</v>
      </c>
    </row>
    <row r="38" spans="2:10" ht="16.5" customHeight="1" x14ac:dyDescent="0.45">
      <c r="B38" s="12" t="s">
        <v>60</v>
      </c>
      <c r="C38" s="26">
        <f t="shared" ref="C38:J38" si="7">C29*(C37+$F$87)</f>
        <v>120</v>
      </c>
      <c r="D38" s="26">
        <f t="shared" si="7"/>
        <v>150</v>
      </c>
      <c r="E38" s="26">
        <f t="shared" si="7"/>
        <v>172.5</v>
      </c>
      <c r="F38" s="26">
        <f t="shared" si="7"/>
        <v>193.20000000000002</v>
      </c>
      <c r="G38" s="26">
        <f t="shared" si="7"/>
        <v>212.52000000000007</v>
      </c>
      <c r="H38" s="26">
        <f t="shared" si="7"/>
        <v>229.52160000000006</v>
      </c>
      <c r="I38" s="26">
        <f t="shared" si="7"/>
        <v>243.2928960000001</v>
      </c>
      <c r="J38" s="26">
        <f t="shared" si="7"/>
        <v>249.37521840000005</v>
      </c>
    </row>
    <row r="39" spans="2:10" ht="16.5" customHeight="1" x14ac:dyDescent="0.45">
      <c r="B39" s="12" t="s">
        <v>61</v>
      </c>
      <c r="D39" s="26">
        <f t="shared" ref="D39:J39" si="8">D38-C38</f>
        <v>30</v>
      </c>
      <c r="E39" s="26">
        <f t="shared" si="8"/>
        <v>22.5</v>
      </c>
      <c r="F39" s="26">
        <f t="shared" si="8"/>
        <v>20.700000000000017</v>
      </c>
      <c r="G39" s="26">
        <f t="shared" si="8"/>
        <v>19.32000000000005</v>
      </c>
      <c r="H39" s="26">
        <f t="shared" si="8"/>
        <v>17.001599999999996</v>
      </c>
      <c r="I39" s="26">
        <f t="shared" si="8"/>
        <v>13.771296000000035</v>
      </c>
      <c r="J39" s="26">
        <f t="shared" si="8"/>
        <v>6.0823223999999527</v>
      </c>
    </row>
    <row r="40" spans="2:10" ht="16.5" customHeight="1" x14ac:dyDescent="0.45"/>
    <row r="41" spans="2:10" ht="16.5" customHeight="1" x14ac:dyDescent="0.45">
      <c r="B41" s="63" t="s">
        <v>62</v>
      </c>
      <c r="C41" s="63"/>
      <c r="D41" s="63"/>
      <c r="E41" s="63"/>
      <c r="F41" s="63"/>
      <c r="G41" s="63"/>
      <c r="H41" s="63"/>
      <c r="I41" s="63"/>
      <c r="J41" s="63"/>
    </row>
    <row r="42" spans="2:10" ht="16.5" customHeight="1" x14ac:dyDescent="0.45">
      <c r="B42" s="12" t="s">
        <v>56</v>
      </c>
      <c r="E42" s="26">
        <f t="shared" ref="E42:J42" si="9">E32</f>
        <v>287.5</v>
      </c>
      <c r="F42" s="26">
        <f t="shared" si="9"/>
        <v>322.00000000000006</v>
      </c>
      <c r="G42" s="26">
        <f t="shared" si="9"/>
        <v>368.36800000000011</v>
      </c>
      <c r="H42" s="26">
        <f t="shared" si="9"/>
        <v>397.83744000000013</v>
      </c>
      <c r="I42" s="26">
        <f t="shared" si="9"/>
        <v>437.92721280000023</v>
      </c>
      <c r="J42" s="26">
        <f t="shared" si="9"/>
        <v>448.87539312000013</v>
      </c>
    </row>
    <row r="43" spans="2:10" ht="16.5" customHeight="1" x14ac:dyDescent="0.45">
      <c r="B43" s="12" t="s">
        <v>63</v>
      </c>
      <c r="E43" s="26">
        <f t="shared" ref="E43:J43" si="10">-E34</f>
        <v>-57.5</v>
      </c>
      <c r="F43" s="26">
        <f t="shared" si="10"/>
        <v>-64.40000000000002</v>
      </c>
      <c r="G43" s="26">
        <f t="shared" si="10"/>
        <v>-70.840000000000018</v>
      </c>
      <c r="H43" s="26">
        <f t="shared" si="10"/>
        <v>-76.507200000000026</v>
      </c>
      <c r="I43" s="26">
        <f t="shared" si="10"/>
        <v>-81.097632000000033</v>
      </c>
      <c r="J43" s="26">
        <f t="shared" si="10"/>
        <v>-83.125072800000027</v>
      </c>
    </row>
    <row r="44" spans="2:10" ht="16.5" customHeight="1" x14ac:dyDescent="0.45">
      <c r="B44" s="15" t="s">
        <v>24</v>
      </c>
      <c r="E44" s="27">
        <f t="shared" ref="E44:J44" si="11">E42+E43</f>
        <v>230</v>
      </c>
      <c r="F44" s="27">
        <f t="shared" si="11"/>
        <v>257.60000000000002</v>
      </c>
      <c r="G44" s="27">
        <f t="shared" si="11"/>
        <v>297.52800000000008</v>
      </c>
      <c r="H44" s="27">
        <f t="shared" si="11"/>
        <v>321.33024000000012</v>
      </c>
      <c r="I44" s="27">
        <f t="shared" si="11"/>
        <v>356.8295808000002</v>
      </c>
      <c r="J44" s="27">
        <f t="shared" si="11"/>
        <v>365.75032032000013</v>
      </c>
    </row>
    <row r="45" spans="2:10" ht="16.5" customHeight="1" x14ac:dyDescent="0.45">
      <c r="B45" s="12" t="s">
        <v>64</v>
      </c>
      <c r="E45" s="26">
        <f t="shared" ref="E45:J45" si="12">-E44*$C$24</f>
        <v>-48.3</v>
      </c>
      <c r="F45" s="26">
        <f t="shared" si="12"/>
        <v>-54.096000000000004</v>
      </c>
      <c r="G45" s="26">
        <f t="shared" si="12"/>
        <v>-62.480880000000013</v>
      </c>
      <c r="H45" s="26">
        <f t="shared" si="12"/>
        <v>-67.479350400000015</v>
      </c>
      <c r="I45" s="26">
        <f t="shared" si="12"/>
        <v>-74.934211968000042</v>
      </c>
      <c r="J45" s="26">
        <f t="shared" si="12"/>
        <v>-76.807567267200028</v>
      </c>
    </row>
    <row r="46" spans="2:10" ht="16.5" customHeight="1" x14ac:dyDescent="0.45">
      <c r="B46" s="15" t="s">
        <v>15</v>
      </c>
      <c r="E46" s="27">
        <f t="shared" ref="E46:J46" si="13">E44+E45</f>
        <v>181.7</v>
      </c>
      <c r="F46" s="27">
        <f t="shared" si="13"/>
        <v>203.50400000000002</v>
      </c>
      <c r="G46" s="27">
        <f t="shared" si="13"/>
        <v>235.04712000000006</v>
      </c>
      <c r="H46" s="27">
        <f t="shared" si="13"/>
        <v>253.8508896000001</v>
      </c>
      <c r="I46" s="27">
        <f t="shared" si="13"/>
        <v>281.89536883200014</v>
      </c>
      <c r="J46" s="27">
        <f t="shared" si="13"/>
        <v>288.94275305280007</v>
      </c>
    </row>
    <row r="47" spans="2:10" ht="16.5" customHeight="1" x14ac:dyDescent="0.45">
      <c r="B47" s="12" t="s">
        <v>25</v>
      </c>
      <c r="E47" s="26">
        <f t="shared" ref="E47:J47" si="14">E34</f>
        <v>57.5</v>
      </c>
      <c r="F47" s="26">
        <f t="shared" si="14"/>
        <v>64.40000000000002</v>
      </c>
      <c r="G47" s="26">
        <f t="shared" si="14"/>
        <v>70.840000000000018</v>
      </c>
      <c r="H47" s="26">
        <f t="shared" si="14"/>
        <v>76.507200000000026</v>
      </c>
      <c r="I47" s="26">
        <f t="shared" si="14"/>
        <v>81.097632000000033</v>
      </c>
      <c r="J47" s="26">
        <f t="shared" si="14"/>
        <v>83.125072800000027</v>
      </c>
    </row>
    <row r="48" spans="2:10" ht="16.5" customHeight="1" x14ac:dyDescent="0.45">
      <c r="B48" s="12" t="s">
        <v>26</v>
      </c>
      <c r="E48" s="26">
        <f t="shared" ref="E48:J48" si="15">-E36</f>
        <v>-57.5</v>
      </c>
      <c r="F48" s="26">
        <f t="shared" si="15"/>
        <v>-64.40000000000002</v>
      </c>
      <c r="G48" s="26">
        <f t="shared" si="15"/>
        <v>-70.840000000000018</v>
      </c>
      <c r="H48" s="26">
        <f t="shared" si="15"/>
        <v>-76.507200000000026</v>
      </c>
      <c r="I48" s="26">
        <f t="shared" si="15"/>
        <v>-81.097632000000033</v>
      </c>
      <c r="J48" s="26">
        <f t="shared" si="15"/>
        <v>-83.125072800000027</v>
      </c>
    </row>
    <row r="49" spans="2:10" ht="16.5" customHeight="1" x14ac:dyDescent="0.45">
      <c r="B49" s="12" t="s">
        <v>27</v>
      </c>
      <c r="E49" s="26">
        <f t="shared" ref="E49:J49" si="16">-E39</f>
        <v>-22.5</v>
      </c>
      <c r="F49" s="26">
        <f t="shared" si="16"/>
        <v>-20.700000000000017</v>
      </c>
      <c r="G49" s="26">
        <f t="shared" si="16"/>
        <v>-19.32000000000005</v>
      </c>
      <c r="H49" s="26">
        <f t="shared" si="16"/>
        <v>-17.001599999999996</v>
      </c>
      <c r="I49" s="26">
        <f t="shared" si="16"/>
        <v>-13.771296000000035</v>
      </c>
      <c r="J49" s="26">
        <f t="shared" si="16"/>
        <v>-6.0823223999999527</v>
      </c>
    </row>
    <row r="50" spans="2:10" ht="16.5" customHeight="1" x14ac:dyDescent="0.45">
      <c r="B50" s="15" t="s">
        <v>16</v>
      </c>
      <c r="E50" s="28">
        <f t="shared" ref="E50:J50" si="17">SUM(E46:E49)</f>
        <v>159.19999999999999</v>
      </c>
      <c r="F50" s="28">
        <f t="shared" si="17"/>
        <v>182.804</v>
      </c>
      <c r="G50" s="28">
        <f t="shared" si="17"/>
        <v>215.72712000000001</v>
      </c>
      <c r="H50" s="28">
        <f t="shared" si="17"/>
        <v>236.84928960000013</v>
      </c>
      <c r="I50" s="28">
        <f t="shared" si="17"/>
        <v>268.12407283200014</v>
      </c>
      <c r="J50" s="28">
        <f t="shared" si="17"/>
        <v>282.86043065280012</v>
      </c>
    </row>
    <row r="51" spans="2:10" ht="16.5" customHeight="1" x14ac:dyDescent="0.45">
      <c r="B51" s="12" t="s">
        <v>65</v>
      </c>
      <c r="E51" s="29">
        <v>0.5</v>
      </c>
      <c r="F51" s="29">
        <v>1.5</v>
      </c>
      <c r="G51" s="29">
        <v>2.5</v>
      </c>
      <c r="H51" s="29">
        <v>3.5</v>
      </c>
      <c r="I51" s="29">
        <v>4.5</v>
      </c>
      <c r="J51" s="30">
        <f>I51</f>
        <v>4.5</v>
      </c>
    </row>
    <row r="52" spans="2:10" ht="16.5" customHeight="1" x14ac:dyDescent="0.45"/>
    <row r="53" spans="2:10" ht="16.5" customHeight="1" x14ac:dyDescent="0.45">
      <c r="B53" s="63" t="s">
        <v>66</v>
      </c>
      <c r="C53" s="63"/>
      <c r="D53" s="63"/>
      <c r="E53" s="63"/>
      <c r="F53" s="63"/>
      <c r="G53" s="63"/>
      <c r="H53" s="63"/>
      <c r="I53" s="63"/>
      <c r="J53" s="63"/>
    </row>
    <row r="54" spans="2:10" ht="16.5" customHeight="1" x14ac:dyDescent="0.45">
      <c r="G54" s="14" t="s">
        <v>33</v>
      </c>
      <c r="H54" s="14" t="s">
        <v>34</v>
      </c>
      <c r="I54" s="14" t="s">
        <v>35</v>
      </c>
    </row>
    <row r="55" spans="2:10" ht="16.5" customHeight="1" x14ac:dyDescent="0.45">
      <c r="B55" s="12" t="s">
        <v>67</v>
      </c>
      <c r="G55" s="26">
        <f>SUMPRODUCT($E$50:$I$50,1/(1+G22)^$E$51:$I$51)</f>
        <v>835.64695180078365</v>
      </c>
      <c r="H55" s="26">
        <f>SUMPRODUCT($E$50:$I$50,1/(1+H22)^$E$51:$I$51)</f>
        <v>845.59379110868178</v>
      </c>
      <c r="I55" s="26">
        <f>SUMPRODUCT($E$50:$I$50,1/(1+I22)^$E$51:$I$51)</f>
        <v>855.74129929483433</v>
      </c>
    </row>
    <row r="56" spans="2:10" ht="16.5" customHeight="1" x14ac:dyDescent="0.45">
      <c r="B56" s="12" t="s">
        <v>68</v>
      </c>
      <c r="G56" s="31">
        <f>$J$50</f>
        <v>282.86043065280012</v>
      </c>
      <c r="H56" s="31">
        <f>$J$50</f>
        <v>282.86043065280012</v>
      </c>
      <c r="I56" s="31">
        <f>$J$50</f>
        <v>282.86043065280012</v>
      </c>
    </row>
    <row r="57" spans="2:10" ht="16.5" customHeight="1" x14ac:dyDescent="0.45">
      <c r="B57" s="12" t="s">
        <v>143</v>
      </c>
      <c r="G57" s="26">
        <f>IF($C$105="Exit",$J$32*$C$106,$J$50/(G22-G23))</f>
        <v>3807.965410555154</v>
      </c>
      <c r="H57" s="26">
        <f>IF($C$105="Exit",$J$32*$C$106,$J$50/(H22-H23))</f>
        <v>4400.356723816044</v>
      </c>
      <c r="I57" s="26">
        <f>IF($C$105="Exit",$J$32*$C$106,$J$50/(I22-I23))</f>
        <v>5211.0154178984458</v>
      </c>
    </row>
    <row r="58" spans="2:10" ht="16.5" customHeight="1" x14ac:dyDescent="0.45">
      <c r="B58" s="12" t="s">
        <v>69</v>
      </c>
      <c r="G58" s="32">
        <f>1/(1+G22)^$I$51</f>
        <v>0.66668347378743154</v>
      </c>
      <c r="H58" s="32">
        <f>1/(1+H22)^$I$51</f>
        <v>0.68056541217731725</v>
      </c>
      <c r="I58" s="32">
        <f>1/(1+I22)^$I$51</f>
        <v>0.69480228015412204</v>
      </c>
    </row>
    <row r="59" spans="2:10" ht="16.5" customHeight="1" x14ac:dyDescent="0.45">
      <c r="B59" s="12" t="s">
        <v>17</v>
      </c>
      <c r="G59" s="26">
        <f>G57*G58</f>
        <v>2538.7076079712929</v>
      </c>
      <c r="H59" s="26">
        <f>H57*H58</f>
        <v>2994.7305874710955</v>
      </c>
      <c r="I59" s="26">
        <f>I57*I58</f>
        <v>3620.6253942741255</v>
      </c>
    </row>
    <row r="60" spans="2:10" ht="16.5" customHeight="1" x14ac:dyDescent="0.45"/>
    <row r="61" spans="2:10" ht="16.5" customHeight="1" x14ac:dyDescent="0.45"/>
    <row r="62" spans="2:10" ht="16.5" customHeight="1" x14ac:dyDescent="0.45">
      <c r="B62" s="15" t="s">
        <v>18</v>
      </c>
      <c r="G62" s="26">
        <f>G55+G59</f>
        <v>3374.3545597720768</v>
      </c>
      <c r="H62" s="26">
        <f>H55+H59</f>
        <v>3840.3243785797772</v>
      </c>
      <c r="I62" s="26">
        <f>I55+I59</f>
        <v>4476.3666935689598</v>
      </c>
    </row>
    <row r="63" spans="2:10" ht="16.5" customHeight="1" x14ac:dyDescent="0.45"/>
    <row r="64" spans="2:10" ht="16.5" customHeight="1" x14ac:dyDescent="0.45">
      <c r="B64" s="12" t="s">
        <v>70</v>
      </c>
      <c r="G64" s="26">
        <f>$C$12-$C$13</f>
        <v>-100</v>
      </c>
      <c r="H64" s="26">
        <f>$C$12-$C$13</f>
        <v>-100</v>
      </c>
      <c r="I64" s="26">
        <f>$C$12-$C$13</f>
        <v>-100</v>
      </c>
    </row>
    <row r="65" spans="2:10" ht="16.5" customHeight="1" x14ac:dyDescent="0.45">
      <c r="B65" s="15" t="s">
        <v>19</v>
      </c>
      <c r="G65" s="28">
        <f>G62+G64</f>
        <v>3274.3545597720768</v>
      </c>
      <c r="H65" s="28">
        <f>H62+H64</f>
        <v>3740.3243785797772</v>
      </c>
      <c r="I65" s="28">
        <f>I62+I64</f>
        <v>4376.3666935689598</v>
      </c>
    </row>
    <row r="66" spans="2:10" ht="16.5" customHeight="1" x14ac:dyDescent="0.45">
      <c r="B66" s="12" t="s">
        <v>5</v>
      </c>
      <c r="G66" s="33">
        <f>$C$11</f>
        <v>100</v>
      </c>
      <c r="H66" s="33">
        <f>$C$11</f>
        <v>100</v>
      </c>
      <c r="I66" s="33">
        <f>$C$11</f>
        <v>100</v>
      </c>
    </row>
    <row r="67" spans="2:10" ht="16.5" customHeight="1" x14ac:dyDescent="0.45"/>
    <row r="68" spans="2:10" ht="16.5" customHeight="1" x14ac:dyDescent="0.45">
      <c r="B68" s="34" t="s">
        <v>20</v>
      </c>
      <c r="G68" s="16">
        <f>G65/G66</f>
        <v>32.743545597720768</v>
      </c>
      <c r="H68" s="16">
        <f>H65/H66</f>
        <v>37.40324378579777</v>
      </c>
      <c r="I68" s="16">
        <f>I65/I66</f>
        <v>43.763666935689599</v>
      </c>
    </row>
    <row r="69" spans="2:10" ht="16.5" customHeight="1" x14ac:dyDescent="0.45">
      <c r="B69" s="12" t="s">
        <v>41</v>
      </c>
      <c r="G69" s="23">
        <f>G57/$J$32</f>
        <v>8.4833463115166818</v>
      </c>
      <c r="H69" s="23">
        <f>H57/$J$32</f>
        <v>9.8030696074259396</v>
      </c>
      <c r="I69" s="23">
        <f>I57/$J$32</f>
        <v>11.609046737176254</v>
      </c>
    </row>
    <row r="70" spans="2:10" ht="16.5" customHeight="1" x14ac:dyDescent="0.45">
      <c r="B70" s="12" t="s">
        <v>71</v>
      </c>
      <c r="G70" s="23">
        <f>G57/$J$29</f>
        <v>2.2905035041095045</v>
      </c>
      <c r="H70" s="23">
        <f>H57/$J$29</f>
        <v>2.6468287940050037</v>
      </c>
      <c r="I70" s="23">
        <f>I57/$J$29</f>
        <v>3.1344426190375887</v>
      </c>
    </row>
    <row r="71" spans="2:10" ht="16.5" customHeight="1" x14ac:dyDescent="0.45">
      <c r="B71" s="12" t="s">
        <v>72</v>
      </c>
      <c r="C71" s="23">
        <f>(C10*C11+C13-C12)/D32</f>
        <v>12.4</v>
      </c>
    </row>
    <row r="72" spans="2:10" ht="16.5" customHeight="1" x14ac:dyDescent="0.45"/>
    <row r="73" spans="2:10" ht="16.5" customHeight="1" x14ac:dyDescent="0.45">
      <c r="B73" s="63" t="s">
        <v>110</v>
      </c>
      <c r="C73" s="63"/>
      <c r="D73" s="63"/>
      <c r="E73" s="63"/>
      <c r="F73" s="63"/>
      <c r="G73" s="63"/>
      <c r="H73" s="63"/>
      <c r="I73" s="63"/>
      <c r="J73" s="63"/>
    </row>
    <row r="74" spans="2:10" ht="16.5" customHeight="1" x14ac:dyDescent="0.45">
      <c r="C74" s="35" t="s">
        <v>73</v>
      </c>
      <c r="D74" s="36">
        <f>H23-0.01</f>
        <v>1.5000000000000001E-2</v>
      </c>
      <c r="E74" s="36">
        <f>H23-0.005</f>
        <v>0.02</v>
      </c>
      <c r="F74" s="36">
        <f>H23</f>
        <v>2.5000000000000001E-2</v>
      </c>
      <c r="G74" s="36">
        <f>H23+0.005</f>
        <v>3.0000000000000002E-2</v>
      </c>
      <c r="H74" s="36">
        <f>H23+0.01</f>
        <v>3.5000000000000003E-2</v>
      </c>
    </row>
    <row r="75" spans="2:10" ht="16.5" customHeight="1" x14ac:dyDescent="0.45">
      <c r="C75" s="37">
        <f>H22+0.01</f>
        <v>9.9281250000000015E-2</v>
      </c>
      <c r="D75" s="38">
        <f t="shared" ref="D75:H79" si="18">(SUMPRODUCT($E$50:$I$50,1/(1+$C75)^$E$51:$I$51)+($J$50/($C75-D$74))/(1+$C75)^$I$51+$C$12-$C$13)/$C$11</f>
        <v>29.179511177088397</v>
      </c>
      <c r="E75" s="38">
        <f t="shared" si="18"/>
        <v>30.56196633613914</v>
      </c>
      <c r="F75" s="38">
        <f t="shared" si="18"/>
        <v>32.130532412689348</v>
      </c>
      <c r="G75" s="38">
        <f t="shared" si="18"/>
        <v>33.925504057347844</v>
      </c>
      <c r="H75" s="38">
        <f t="shared" si="18"/>
        <v>35.999712904870087</v>
      </c>
    </row>
    <row r="76" spans="2:10" ht="16.5" customHeight="1" x14ac:dyDescent="0.45">
      <c r="C76" s="37">
        <f>H22+0.005</f>
        <v>9.4281250000000025E-2</v>
      </c>
      <c r="D76" s="38">
        <f t="shared" si="18"/>
        <v>31.142468667190979</v>
      </c>
      <c r="E76" s="38">
        <f t="shared" si="18"/>
        <v>32.743545597720768</v>
      </c>
      <c r="F76" s="38">
        <f t="shared" si="18"/>
        <v>34.575720686919709</v>
      </c>
      <c r="G76" s="38">
        <f t="shared" si="18"/>
        <v>36.692920583383447</v>
      </c>
      <c r="H76" s="38">
        <f t="shared" si="18"/>
        <v>39.16726542811729</v>
      </c>
    </row>
    <row r="77" spans="2:10" ht="16.5" customHeight="1" x14ac:dyDescent="0.45">
      <c r="C77" s="37">
        <f>H22</f>
        <v>8.928125000000002E-2</v>
      </c>
      <c r="D77" s="38">
        <f t="shared" si="18"/>
        <v>33.371633403001177</v>
      </c>
      <c r="E77" s="38">
        <f t="shared" si="18"/>
        <v>35.241958742967931</v>
      </c>
      <c r="F77" s="39">
        <f t="shared" si="18"/>
        <v>37.40324378579777</v>
      </c>
      <c r="G77" s="38">
        <f t="shared" si="18"/>
        <v>39.929110385667954</v>
      </c>
      <c r="H77" s="38">
        <f t="shared" si="18"/>
        <v>42.920306468530931</v>
      </c>
    </row>
    <row r="78" spans="2:10" ht="16.5" customHeight="1" x14ac:dyDescent="0.45">
      <c r="C78" s="37">
        <f>H22-0.005</f>
        <v>8.4281250000000016E-2</v>
      </c>
      <c r="D78" s="38">
        <f t="shared" si="18"/>
        <v>35.924694498830874</v>
      </c>
      <c r="E78" s="38">
        <f t="shared" si="18"/>
        <v>38.13119184493744</v>
      </c>
      <c r="F78" s="38">
        <f t="shared" si="18"/>
        <v>40.709897494024553</v>
      </c>
      <c r="G78" s="38">
        <f t="shared" si="18"/>
        <v>43.763666935689599</v>
      </c>
      <c r="H78" s="38">
        <f t="shared" si="18"/>
        <v>47.437097900076786</v>
      </c>
    </row>
    <row r="79" spans="2:10" ht="16.5" customHeight="1" x14ac:dyDescent="0.45">
      <c r="C79" s="37">
        <f>H22-0.01</f>
        <v>7.9281250000000025E-2</v>
      </c>
      <c r="D79" s="38">
        <f t="shared" si="18"/>
        <v>38.877291769822612</v>
      </c>
      <c r="E79" s="38">
        <f t="shared" si="18"/>
        <v>41.510193751740736</v>
      </c>
      <c r="F79" s="38">
        <f t="shared" si="18"/>
        <v>44.628143882313879</v>
      </c>
      <c r="G79" s="38">
        <f t="shared" si="18"/>
        <v>48.378778884024257</v>
      </c>
      <c r="H79" s="38">
        <f t="shared" si="18"/>
        <v>52.976416850129354</v>
      </c>
    </row>
    <row r="80" spans="2:10" ht="16.5" customHeight="1" x14ac:dyDescent="0.45"/>
    <row r="81" spans="2:9" ht="16.5" customHeight="1" x14ac:dyDescent="0.45"/>
    <row r="82" spans="2:9" ht="16.5" customHeight="1" x14ac:dyDescent="0.45">
      <c r="B82" s="55" t="s">
        <v>109</v>
      </c>
      <c r="C82" s="56"/>
      <c r="D82" s="56"/>
      <c r="E82" s="56"/>
      <c r="F82" s="56"/>
      <c r="G82" s="56"/>
      <c r="H82" s="56"/>
      <c r="I82" s="56"/>
    </row>
    <row r="83" spans="2:9" ht="16.5" customHeight="1" x14ac:dyDescent="0.45">
      <c r="B83" s="40" t="s">
        <v>99</v>
      </c>
      <c r="C83" s="40" t="s">
        <v>100</v>
      </c>
      <c r="D83" s="40" t="s">
        <v>28</v>
      </c>
      <c r="E83" s="40" t="s">
        <v>101</v>
      </c>
      <c r="F83" s="40" t="s">
        <v>102</v>
      </c>
    </row>
    <row r="84" spans="2:9" ht="16.5" customHeight="1" x14ac:dyDescent="0.45">
      <c r="B84" s="2" t="s">
        <v>103</v>
      </c>
      <c r="C84" s="1">
        <v>-0.03</v>
      </c>
      <c r="D84" s="1">
        <v>0</v>
      </c>
      <c r="E84" s="1">
        <v>0.03</v>
      </c>
      <c r="F84" s="41">
        <f>IF($C$5="Conservative",C84,IF($C$5="Optimistic",E84,D84))</f>
        <v>0</v>
      </c>
    </row>
    <row r="85" spans="2:9" ht="16.5" customHeight="1" x14ac:dyDescent="0.45">
      <c r="B85" s="2" t="s">
        <v>104</v>
      </c>
      <c r="C85" s="1">
        <v>-0.02</v>
      </c>
      <c r="D85" s="1">
        <v>0</v>
      </c>
      <c r="E85" s="1">
        <v>0.02</v>
      </c>
      <c r="F85" s="41">
        <f>IF($C$5="Conservative",C85,IF($C$5="Optimistic",E85,D85))</f>
        <v>0</v>
      </c>
    </row>
    <row r="86" spans="2:9" ht="16.5" customHeight="1" x14ac:dyDescent="0.45">
      <c r="B86" s="2" t="s">
        <v>105</v>
      </c>
      <c r="C86" s="1">
        <v>0.01</v>
      </c>
      <c r="D86" s="1">
        <v>0</v>
      </c>
      <c r="E86" s="1">
        <v>-0.01</v>
      </c>
      <c r="F86" s="41">
        <f>IF($C$5="Conservative",C86,IF($C$5="Optimistic",E86,D86))</f>
        <v>0</v>
      </c>
    </row>
    <row r="87" spans="2:9" ht="16.5" customHeight="1" x14ac:dyDescent="0.45">
      <c r="B87" s="2" t="s">
        <v>106</v>
      </c>
      <c r="C87" s="1">
        <v>0.01</v>
      </c>
      <c r="D87" s="1">
        <v>0</v>
      </c>
      <c r="E87" s="1">
        <v>-0.01</v>
      </c>
      <c r="F87" s="41">
        <f>IF($C$5="Conservative",C87,IF($C$5="Optimistic",E87,D87))</f>
        <v>0</v>
      </c>
    </row>
    <row r="88" spans="2:9" ht="16.5" customHeight="1" x14ac:dyDescent="0.45">
      <c r="B88" s="2" t="s">
        <v>132</v>
      </c>
      <c r="C88" s="1">
        <v>-5.0000000000000001E-3</v>
      </c>
      <c r="D88" s="1">
        <v>0</v>
      </c>
      <c r="E88" s="1">
        <v>5.0000000000000001E-3</v>
      </c>
      <c r="F88" s="41">
        <f>IF($C$5="Conservative",C88,IF($C$5="Optimistic",E88,D88))</f>
        <v>0</v>
      </c>
    </row>
    <row r="89" spans="2:9" ht="16.5" customHeight="1" x14ac:dyDescent="0.45"/>
    <row r="90" spans="2:9" ht="16.5" customHeight="1" x14ac:dyDescent="0.45"/>
    <row r="91" spans="2:9" ht="16.5" customHeight="1" x14ac:dyDescent="0.45">
      <c r="B91" s="55" t="s">
        <v>111</v>
      </c>
      <c r="C91" s="56"/>
      <c r="D91" s="56"/>
      <c r="E91" s="56"/>
      <c r="F91" s="56"/>
      <c r="G91" s="56"/>
      <c r="H91" s="56"/>
      <c r="I91" s="56"/>
    </row>
    <row r="92" spans="2:9" ht="16.5" customHeight="1" x14ac:dyDescent="0.45">
      <c r="B92" s="2" t="s">
        <v>112</v>
      </c>
      <c r="C92" s="42" t="s">
        <v>115</v>
      </c>
      <c r="F92" s="40" t="s">
        <v>112</v>
      </c>
      <c r="G92" s="40" t="s">
        <v>113</v>
      </c>
      <c r="H92" s="40" t="s">
        <v>114</v>
      </c>
    </row>
    <row r="93" spans="2:9" ht="16.5" customHeight="1" x14ac:dyDescent="0.45">
      <c r="B93" s="2" t="s">
        <v>119</v>
      </c>
      <c r="C93" s="43">
        <f>VLOOKUP($C$92,$F$93:$H$96,2,0)</f>
        <v>4.2000000000000003E-2</v>
      </c>
      <c r="F93" s="44" t="s">
        <v>115</v>
      </c>
      <c r="G93" s="1">
        <v>4.2000000000000003E-2</v>
      </c>
      <c r="H93" s="1">
        <v>4.5999999999999999E-2</v>
      </c>
    </row>
    <row r="94" spans="2:9" ht="16.5" customHeight="1" x14ac:dyDescent="0.45">
      <c r="B94" s="2" t="s">
        <v>120</v>
      </c>
      <c r="C94" s="43">
        <f>VLOOKUP($C$92,$F$93:$H$96,3,0)</f>
        <v>4.5999999999999999E-2</v>
      </c>
      <c r="F94" s="44" t="s">
        <v>116</v>
      </c>
      <c r="G94" s="1">
        <v>2.5000000000000001E-2</v>
      </c>
      <c r="H94" s="1">
        <v>0.05</v>
      </c>
    </row>
    <row r="95" spans="2:9" ht="16.5" customHeight="1" x14ac:dyDescent="0.45">
      <c r="B95" s="2" t="s">
        <v>121</v>
      </c>
      <c r="C95" s="1">
        <v>0</v>
      </c>
      <c r="F95" s="44" t="s">
        <v>117</v>
      </c>
      <c r="G95" s="1">
        <v>0.04</v>
      </c>
      <c r="H95" s="1">
        <v>0.06</v>
      </c>
    </row>
    <row r="96" spans="2:9" ht="16.5" customHeight="1" x14ac:dyDescent="0.45">
      <c r="B96" s="2" t="s">
        <v>122</v>
      </c>
      <c r="C96" s="45">
        <v>1.1000000000000001</v>
      </c>
      <c r="F96" s="44" t="s">
        <v>118</v>
      </c>
      <c r="G96" s="1">
        <v>0.03</v>
      </c>
      <c r="H96" s="1">
        <v>5.5E-2</v>
      </c>
    </row>
    <row r="97" spans="2:3" ht="16.5" customHeight="1" x14ac:dyDescent="0.45">
      <c r="B97" s="40" t="s">
        <v>123</v>
      </c>
      <c r="C97" s="46">
        <f>C93+C96*C94+C95</f>
        <v>9.2600000000000016E-2</v>
      </c>
    </row>
    <row r="98" spans="2:3" ht="16.5" customHeight="1" x14ac:dyDescent="0.45">
      <c r="B98" s="2" t="s">
        <v>124</v>
      </c>
      <c r="C98" s="1">
        <v>0.05</v>
      </c>
    </row>
    <row r="99" spans="2:3" ht="16.5" customHeight="1" x14ac:dyDescent="0.45">
      <c r="B99" s="2" t="s">
        <v>6</v>
      </c>
      <c r="C99" s="43">
        <f>C24</f>
        <v>0.21</v>
      </c>
    </row>
    <row r="100" spans="2:3" ht="16.5" customHeight="1" x14ac:dyDescent="0.45">
      <c r="B100" s="2" t="s">
        <v>125</v>
      </c>
      <c r="C100" s="43">
        <f>C98*(1-C99)</f>
        <v>3.9500000000000007E-2</v>
      </c>
    </row>
    <row r="101" spans="2:3" ht="16.5" customHeight="1" x14ac:dyDescent="0.45">
      <c r="B101" s="51" t="s">
        <v>142</v>
      </c>
      <c r="C101" s="52">
        <f>(C11*C10)+C13</f>
        <v>3200</v>
      </c>
    </row>
    <row r="102" spans="2:3" ht="16.5" customHeight="1" x14ac:dyDescent="0.45">
      <c r="B102" s="2" t="s">
        <v>126</v>
      </c>
      <c r="C102" s="43">
        <f>(C11*C10)/C101</f>
        <v>0.9375</v>
      </c>
    </row>
    <row r="103" spans="2:3" ht="16.5" customHeight="1" x14ac:dyDescent="0.45">
      <c r="B103" s="2" t="s">
        <v>127</v>
      </c>
      <c r="C103" s="43">
        <f>C13/C101</f>
        <v>6.25E-2</v>
      </c>
    </row>
    <row r="104" spans="2:3" ht="16.5" customHeight="1" x14ac:dyDescent="0.45">
      <c r="B104" s="40" t="s">
        <v>128</v>
      </c>
      <c r="C104" s="46">
        <f>C102*C97+C103*C100</f>
        <v>8.928125000000002E-2</v>
      </c>
    </row>
    <row r="105" spans="2:3" ht="16.5" customHeight="1" x14ac:dyDescent="0.45">
      <c r="B105" s="2" t="s">
        <v>129</v>
      </c>
      <c r="C105" s="42" t="s">
        <v>130</v>
      </c>
    </row>
    <row r="106" spans="2:3" ht="16.5" customHeight="1" x14ac:dyDescent="0.45">
      <c r="B106" s="2" t="s">
        <v>131</v>
      </c>
      <c r="C106" s="47">
        <v>10</v>
      </c>
    </row>
    <row r="107" spans="2:3" ht="16.5" customHeight="1" x14ac:dyDescent="0.45"/>
    <row r="108" spans="2:3" ht="16.5" customHeight="1" x14ac:dyDescent="0.45">
      <c r="B108" s="11" t="s">
        <v>144</v>
      </c>
    </row>
    <row r="109" spans="2:3" ht="16.5" customHeight="1" x14ac:dyDescent="0.45">
      <c r="B109" s="53" t="s">
        <v>145</v>
      </c>
    </row>
  </sheetData>
  <sheetProtection sheet="1" objects="1" scenarios="1" formatCells="0" formatColumns="0" formatRows="0" insertColumns="0" insertRows="0" insertHyperlinks="0" deleteColumns="0" deleteRows="0" sort="0" autoFilter="0" pivotTables="0"/>
  <mergeCells count="16">
    <mergeCell ref="B91:I91"/>
    <mergeCell ref="A1:J1"/>
    <mergeCell ref="A2:J2"/>
    <mergeCell ref="A3:J3"/>
    <mergeCell ref="B4:J4"/>
    <mergeCell ref="B6:J6"/>
    <mergeCell ref="C5:D5"/>
    <mergeCell ref="B41:J41"/>
    <mergeCell ref="B53:J53"/>
    <mergeCell ref="B73:J73"/>
    <mergeCell ref="B82:I82"/>
    <mergeCell ref="C7:D7"/>
    <mergeCell ref="C14:D14"/>
    <mergeCell ref="B20:J20"/>
    <mergeCell ref="B25:F25"/>
    <mergeCell ref="B27:J27"/>
  </mergeCells>
  <dataValidations count="3">
    <dataValidation type="list" allowBlank="1" showInputMessage="1" showErrorMessage="1" sqref="C3 C5" xr:uid="{F8BF1C38-FF00-4C39-B8DC-83124D55394C}">
      <formula1>"Conservative,Base,Optimistic"</formula1>
    </dataValidation>
    <dataValidation type="list" allowBlank="1" showInputMessage="1" showErrorMessage="1" sqref="C92" xr:uid="{01FE4951-AB13-448B-982D-4EB5CDA94388}">
      <formula1>"US,EU,MENA,Asia"</formula1>
    </dataValidation>
    <dataValidation type="list" allowBlank="1" showInputMessage="1" showErrorMessage="1" sqref="C105" xr:uid="{52273B40-549F-4E33-8FCD-CCF2BE2369F7}">
      <formula1>"Gordon,Exit"</formula1>
    </dataValidation>
  </dataValidations>
  <hyperlinks>
    <hyperlink ref="B109" r:id="rId1" tooltip="Damodaran - Country Default Spreads and Risk Premiums" xr:uid="{573DFD35-6B3F-4C5F-8AAF-A697D87A455C}"/>
  </hyperlinks>
  <pageMargins left="0.75" right="0.75" top="0.35" bottom="0.35" header="0.15" footer="0.15"/>
  <pageSetup scale="85" fitToHeight="0" orientation="landscape" horizontalDpi="300" verticalDpi="300" r:id="rId2"/>
  <rowBreaks count="4" manualBreakCount="4">
    <brk id="26" max="16383" man="1"/>
    <brk id="52" max="16383" man="1"/>
    <brk id="72" max="16383" man="1"/>
    <brk id="90" max="16383" man="1"/>
  </rowBreaks>
  <drawing r:id="rId3"/>
  <legacyDrawing r:id="rId4"/>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2" baseType="variant">
      <vt:variant>
        <vt:lpstr>Worksheets</vt:lpstr>
      </vt:variant>
      <vt:variant>
        <vt:i4>2</vt:i4>
      </vt:variant>
    </vt:vector>
  </HeadingPairs>
  <TitlesOfParts>
    <vt:vector size="2" baseType="lpstr">
      <vt:lpstr>Guide</vt:lpstr>
      <vt:lpstr>DCF Model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openpyxl</dc:creator>
  <dc:description/>
  <cp:lastModifiedBy>CARL NAOUFAL</cp:lastModifiedBy>
  <cp:revision>0</cp:revision>
  <dcterms:created xsi:type="dcterms:W3CDTF">2026-07-03T13:01:16Z</dcterms:created>
  <dcterms:modified xsi:type="dcterms:W3CDTF">2026-07-06T11:05:03Z</dcterms:modified>
  <dc:language>en-US</dc:language>
</cp:coreProperties>
</file>