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carln\Desktop\iwp-site-concepts\public\downloads\"/>
    </mc:Choice>
  </mc:AlternateContent>
  <xr:revisionPtr revIDLastSave="0" documentId="13_ncr:1_{FE2606A9-11D4-4D22-8ECF-FCEB17C7D46E}" xr6:coauthVersionLast="47" xr6:coauthVersionMax="47" xr10:uidLastSave="{00000000-0000-0000-0000-000000000000}"/>
  <bookViews>
    <workbookView xWindow="-98" yWindow="-98" windowWidth="21795" windowHeight="12975" tabRatio="650" activeTab="3" xr2:uid="{00000000-000D-0000-FFFF-FFFF00000000}"/>
  </bookViews>
  <sheets>
    <sheet name="Guide" sheetId="7" r:id="rId1"/>
    <sheet name="Assumptions" sheetId="1" r:id="rId2"/>
    <sheet name="Income Statement" sheetId="2" r:id="rId3"/>
    <sheet name="Balance Sheet" sheetId="3" r:id="rId4"/>
    <sheet name="Cash Flow" sheetId="4" r:id="rId5"/>
    <sheet name="Schedules" sheetId="5" r:id="rId6"/>
    <sheet name="Ratios &amp; Analysis" sheetId="6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4" i="4" l="1"/>
  <c r="D24" i="4"/>
  <c r="E30" i="4"/>
  <c r="D30" i="4"/>
  <c r="E29" i="4"/>
  <c r="D29" i="4"/>
  <c r="E23" i="4"/>
  <c r="D23" i="4"/>
  <c r="E19" i="4"/>
  <c r="E20" i="4" s="1"/>
  <c r="D19" i="4"/>
  <c r="D20" i="4" s="1"/>
  <c r="E25" i="4"/>
  <c r="D25" i="4"/>
  <c r="E15" i="4"/>
  <c r="D15" i="4"/>
  <c r="E14" i="4"/>
  <c r="D14" i="4"/>
  <c r="E13" i="4"/>
  <c r="D13" i="4"/>
  <c r="E12" i="4"/>
  <c r="D12" i="4"/>
  <c r="E11" i="4"/>
  <c r="D11" i="4"/>
  <c r="E10" i="4"/>
  <c r="D10" i="4"/>
  <c r="E7" i="2"/>
  <c r="E21" i="6" s="1"/>
  <c r="D7" i="2"/>
  <c r="C7" i="2"/>
  <c r="E15" i="2"/>
  <c r="D15" i="2"/>
  <c r="C15" i="2"/>
  <c r="E10" i="2"/>
  <c r="E23" i="6" s="1"/>
  <c r="D10" i="2"/>
  <c r="C10" i="2"/>
  <c r="D28" i="3"/>
  <c r="C28" i="3"/>
  <c r="D21" i="3"/>
  <c r="D23" i="3" s="1"/>
  <c r="C21" i="3"/>
  <c r="C23" i="3" s="1"/>
  <c r="D13" i="3"/>
  <c r="D16" i="3" s="1"/>
  <c r="C13" i="3"/>
  <c r="C16" i="3" s="1"/>
  <c r="F42" i="1"/>
  <c r="F41" i="1"/>
  <c r="F40" i="1"/>
  <c r="F39" i="1"/>
  <c r="F38" i="1"/>
  <c r="E30" i="6"/>
  <c r="E30" i="5"/>
  <c r="E29" i="5"/>
  <c r="E28" i="5"/>
  <c r="E27" i="5"/>
  <c r="E26" i="5"/>
  <c r="J21" i="5"/>
  <c r="I21" i="5"/>
  <c r="H21" i="5"/>
  <c r="G21" i="5"/>
  <c r="F21" i="5"/>
  <c r="J20" i="5"/>
  <c r="I20" i="5"/>
  <c r="H20" i="5"/>
  <c r="G20" i="5"/>
  <c r="F20" i="5"/>
  <c r="F19" i="5"/>
  <c r="F23" i="5" s="1"/>
  <c r="F22" i="2" s="1"/>
  <c r="J9" i="5"/>
  <c r="I9" i="5"/>
  <c r="H9" i="5"/>
  <c r="G9" i="5"/>
  <c r="F9" i="5"/>
  <c r="F8" i="5"/>
  <c r="F29" i="4"/>
  <c r="J24" i="4"/>
  <c r="I24" i="4"/>
  <c r="H24" i="4"/>
  <c r="G24" i="4"/>
  <c r="F24" i="4"/>
  <c r="E28" i="3"/>
  <c r="E43" i="6" s="1"/>
  <c r="F26" i="3"/>
  <c r="G26" i="3" s="1"/>
  <c r="H26" i="3" s="1"/>
  <c r="I26" i="3" s="1"/>
  <c r="J26" i="3" s="1"/>
  <c r="E21" i="3"/>
  <c r="E18" i="6" s="1"/>
  <c r="F15" i="3"/>
  <c r="G15" i="3" s="1"/>
  <c r="H15" i="3" s="1"/>
  <c r="I15" i="3" s="1"/>
  <c r="J15" i="3" s="1"/>
  <c r="E13" i="3"/>
  <c r="F23" i="2"/>
  <c r="D14" i="2" l="1"/>
  <c r="D30" i="2" s="1"/>
  <c r="D28" i="4"/>
  <c r="E26" i="4"/>
  <c r="E28" i="4"/>
  <c r="D26" i="4"/>
  <c r="E20" i="1"/>
  <c r="F20" i="1"/>
  <c r="F7" i="2"/>
  <c r="F8" i="2" s="1"/>
  <c r="F9" i="2" s="1"/>
  <c r="E26" i="6"/>
  <c r="G20" i="1"/>
  <c r="H20" i="1"/>
  <c r="E22" i="6"/>
  <c r="E24" i="6" s="1"/>
  <c r="D20" i="1"/>
  <c r="E14" i="2"/>
  <c r="E19" i="2" s="1"/>
  <c r="E8" i="6" s="1"/>
  <c r="F15" i="2"/>
  <c r="H21" i="1"/>
  <c r="C14" i="2"/>
  <c r="C19" i="2" s="1"/>
  <c r="C31" i="2" s="1"/>
  <c r="F22" i="1"/>
  <c r="D22" i="1"/>
  <c r="G21" i="1"/>
  <c r="H22" i="1"/>
  <c r="D21" i="1"/>
  <c r="E22" i="1"/>
  <c r="G22" i="1"/>
  <c r="E21" i="1"/>
  <c r="F21" i="1"/>
  <c r="D29" i="3"/>
  <c r="D31" i="3" s="1"/>
  <c r="C29" i="3"/>
  <c r="C31" i="3" s="1"/>
  <c r="E16" i="6"/>
  <c r="H23" i="4"/>
  <c r="I23" i="4"/>
  <c r="J23" i="4"/>
  <c r="G23" i="4"/>
  <c r="F22" i="5"/>
  <c r="F22" i="3" s="1"/>
  <c r="E29" i="6"/>
  <c r="F23" i="4"/>
  <c r="E16" i="3"/>
  <c r="E37" i="6" s="1"/>
  <c r="E17" i="6"/>
  <c r="E31" i="5"/>
  <c r="E23" i="3"/>
  <c r="E29" i="3" s="1"/>
  <c r="F10" i="3" l="1"/>
  <c r="F21" i="6" s="1"/>
  <c r="D19" i="2"/>
  <c r="D31" i="2" s="1"/>
  <c r="F20" i="3"/>
  <c r="F30" i="5" s="1"/>
  <c r="F12" i="3"/>
  <c r="F28" i="5" s="1"/>
  <c r="F7" i="5"/>
  <c r="J10" i="5" s="1"/>
  <c r="F10" i="2"/>
  <c r="G7" i="2"/>
  <c r="G10" i="3" s="1"/>
  <c r="E30" i="2"/>
  <c r="G15" i="2"/>
  <c r="F17" i="2"/>
  <c r="F16" i="2"/>
  <c r="E31" i="6"/>
  <c r="F12" i="2"/>
  <c r="F11" i="2"/>
  <c r="G8" i="2"/>
  <c r="G9" i="2" s="1"/>
  <c r="E31" i="2"/>
  <c r="C21" i="2"/>
  <c r="C24" i="2" s="1"/>
  <c r="C26" i="2" s="1"/>
  <c r="C32" i="2" s="1"/>
  <c r="E21" i="2"/>
  <c r="E32" i="6" s="1"/>
  <c r="E7" i="6"/>
  <c r="C30" i="2"/>
  <c r="D21" i="2"/>
  <c r="D24" i="2" s="1"/>
  <c r="D26" i="2" s="1"/>
  <c r="E33" i="6"/>
  <c r="E25" i="6"/>
  <c r="E38" i="6"/>
  <c r="E31" i="3"/>
  <c r="E35" i="5" s="1"/>
  <c r="G19" i="5"/>
  <c r="G22" i="5" s="1"/>
  <c r="G7" i="5"/>
  <c r="G10" i="2"/>
  <c r="H7" i="2"/>
  <c r="F11" i="4"/>
  <c r="F26" i="5"/>
  <c r="F15" i="4"/>
  <c r="F18" i="2" l="1"/>
  <c r="F10" i="5"/>
  <c r="F15" i="5" s="1"/>
  <c r="F20" i="2" s="1"/>
  <c r="F10" i="4" s="1"/>
  <c r="F19" i="4"/>
  <c r="F20" i="4" s="1"/>
  <c r="H10" i="5"/>
  <c r="F14" i="2"/>
  <c r="F7" i="6" s="1"/>
  <c r="F13" i="2"/>
  <c r="G20" i="3"/>
  <c r="G15" i="4" s="1"/>
  <c r="F11" i="3"/>
  <c r="F27" i="5" s="1"/>
  <c r="G12" i="3"/>
  <c r="G13" i="4" s="1"/>
  <c r="F19" i="3"/>
  <c r="F29" i="5" s="1"/>
  <c r="I10" i="5"/>
  <c r="G10" i="5"/>
  <c r="F13" i="4"/>
  <c r="E9" i="6"/>
  <c r="E24" i="2"/>
  <c r="E26" i="2" s="1"/>
  <c r="E42" i="6" s="1"/>
  <c r="H8" i="2"/>
  <c r="H9" i="2" s="1"/>
  <c r="G12" i="2"/>
  <c r="G11" i="2"/>
  <c r="G13" i="2" s="1"/>
  <c r="D32" i="2"/>
  <c r="D9" i="4"/>
  <c r="D16" i="4" s="1"/>
  <c r="D32" i="4" s="1"/>
  <c r="G16" i="2"/>
  <c r="G17" i="2"/>
  <c r="H15" i="2"/>
  <c r="H10" i="3"/>
  <c r="G11" i="3"/>
  <c r="G26" i="6" s="1"/>
  <c r="G23" i="5"/>
  <c r="G22" i="2" s="1"/>
  <c r="I7" i="2"/>
  <c r="H10" i="2"/>
  <c r="H7" i="5"/>
  <c r="G22" i="3"/>
  <c r="H19" i="5"/>
  <c r="H20" i="3"/>
  <c r="H12" i="3"/>
  <c r="G19" i="3"/>
  <c r="G11" i="4"/>
  <c r="G26" i="5"/>
  <c r="G21" i="6"/>
  <c r="G14" i="2"/>
  <c r="I11" i="5"/>
  <c r="G19" i="4"/>
  <c r="G20" i="4" s="1"/>
  <c r="H11" i="5"/>
  <c r="G11" i="5"/>
  <c r="J11" i="5"/>
  <c r="G18" i="2" l="1"/>
  <c r="I15" i="2"/>
  <c r="I17" i="2" s="1"/>
  <c r="G28" i="5"/>
  <c r="F22" i="6"/>
  <c r="F30" i="2"/>
  <c r="F19" i="2"/>
  <c r="F31" i="2" s="1"/>
  <c r="F16" i="5"/>
  <c r="G8" i="5" s="1"/>
  <c r="G30" i="5"/>
  <c r="F26" i="6"/>
  <c r="F21" i="3"/>
  <c r="F23" i="3" s="1"/>
  <c r="F23" i="6"/>
  <c r="F12" i="4"/>
  <c r="F14" i="4"/>
  <c r="G15" i="5"/>
  <c r="G20" i="2" s="1"/>
  <c r="G10" i="4" s="1"/>
  <c r="E10" i="6"/>
  <c r="E12" i="6"/>
  <c r="E9" i="4"/>
  <c r="E16" i="4" s="1"/>
  <c r="E32" i="4" s="1"/>
  <c r="E32" i="2"/>
  <c r="E13" i="6"/>
  <c r="E36" i="6"/>
  <c r="E39" i="6" s="1"/>
  <c r="E11" i="6"/>
  <c r="H17" i="2"/>
  <c r="H16" i="2"/>
  <c r="H18" i="2" s="1"/>
  <c r="H12" i="2"/>
  <c r="H11" i="2"/>
  <c r="H13" i="2" s="1"/>
  <c r="I8" i="2"/>
  <c r="I9" i="2" s="1"/>
  <c r="J15" i="2"/>
  <c r="I10" i="3"/>
  <c r="H14" i="2"/>
  <c r="H19" i="2" s="1"/>
  <c r="H11" i="3"/>
  <c r="H26" i="6" s="1"/>
  <c r="F31" i="5"/>
  <c r="F32" i="5" s="1"/>
  <c r="J7" i="2"/>
  <c r="I7" i="5"/>
  <c r="I10" i="2"/>
  <c r="H26" i="5"/>
  <c r="H21" i="6"/>
  <c r="H11" i="4"/>
  <c r="G22" i="6"/>
  <c r="G27" i="5"/>
  <c r="G12" i="4"/>
  <c r="G23" i="6"/>
  <c r="G29" i="5"/>
  <c r="G14" i="4"/>
  <c r="G21" i="3"/>
  <c r="G23" i="3" s="1"/>
  <c r="H13" i="4"/>
  <c r="H28" i="5"/>
  <c r="G19" i="2"/>
  <c r="G31" i="6" s="1"/>
  <c r="G30" i="2"/>
  <c r="G7" i="6"/>
  <c r="H15" i="4"/>
  <c r="H30" i="5"/>
  <c r="H19" i="4"/>
  <c r="H20" i="4" s="1"/>
  <c r="J12" i="5"/>
  <c r="I12" i="5"/>
  <c r="H12" i="5"/>
  <c r="H15" i="5" s="1"/>
  <c r="H20" i="2" s="1"/>
  <c r="H10" i="4" s="1"/>
  <c r="I12" i="3"/>
  <c r="I20" i="3"/>
  <c r="H23" i="5"/>
  <c r="H22" i="2" s="1"/>
  <c r="H22" i="5"/>
  <c r="H19" i="3"/>
  <c r="I16" i="2" l="1"/>
  <c r="F24" i="6"/>
  <c r="I18" i="2"/>
  <c r="G16" i="5"/>
  <c r="H8" i="5" s="1"/>
  <c r="H16" i="5" s="1"/>
  <c r="F14" i="3"/>
  <c r="F37" i="5"/>
  <c r="F21" i="2"/>
  <c r="F24" i="2" s="1"/>
  <c r="F25" i="2" s="1"/>
  <c r="F31" i="6"/>
  <c r="F8" i="6"/>
  <c r="I12" i="2"/>
  <c r="I11" i="2"/>
  <c r="I13" i="2" s="1"/>
  <c r="J17" i="2"/>
  <c r="J16" i="2"/>
  <c r="J8" i="2"/>
  <c r="J9" i="2" s="1"/>
  <c r="H30" i="2"/>
  <c r="J10" i="3"/>
  <c r="H7" i="6"/>
  <c r="I14" i="2"/>
  <c r="I30" i="2" s="1"/>
  <c r="I11" i="3"/>
  <c r="J7" i="5"/>
  <c r="J10" i="2"/>
  <c r="G24" i="6"/>
  <c r="G31" i="5"/>
  <c r="G32" i="5" s="1"/>
  <c r="I28" i="5"/>
  <c r="I13" i="4"/>
  <c r="I26" i="5"/>
  <c r="I21" i="6"/>
  <c r="I11" i="4"/>
  <c r="I19" i="3"/>
  <c r="J20" i="3"/>
  <c r="J12" i="3"/>
  <c r="I19" i="4"/>
  <c r="I20" i="4" s="1"/>
  <c r="I13" i="5"/>
  <c r="I15" i="5" s="1"/>
  <c r="I20" i="2" s="1"/>
  <c r="I10" i="4" s="1"/>
  <c r="J13" i="5"/>
  <c r="H8" i="6"/>
  <c r="H21" i="2"/>
  <c r="H31" i="2"/>
  <c r="H23" i="6"/>
  <c r="H29" i="5"/>
  <c r="H14" i="4"/>
  <c r="H21" i="3"/>
  <c r="H22" i="3"/>
  <c r="I19" i="5"/>
  <c r="I30" i="5"/>
  <c r="I15" i="4"/>
  <c r="G31" i="2"/>
  <c r="G21" i="2"/>
  <c r="G8" i="6"/>
  <c r="H22" i="6"/>
  <c r="H27" i="5"/>
  <c r="H12" i="4"/>
  <c r="G37" i="5"/>
  <c r="G14" i="3"/>
  <c r="J18" i="2" l="1"/>
  <c r="F9" i="6"/>
  <c r="F32" i="6"/>
  <c r="F26" i="2"/>
  <c r="F36" i="6" s="1"/>
  <c r="J12" i="2"/>
  <c r="J11" i="2"/>
  <c r="H31" i="5"/>
  <c r="H32" i="5" s="1"/>
  <c r="J11" i="3"/>
  <c r="J26" i="6" s="1"/>
  <c r="I7" i="6"/>
  <c r="I19" i="2"/>
  <c r="I8" i="6" s="1"/>
  <c r="H23" i="3"/>
  <c r="H24" i="6"/>
  <c r="J26" i="5"/>
  <c r="J11" i="4"/>
  <c r="J21" i="6"/>
  <c r="H14" i="3"/>
  <c r="I8" i="5"/>
  <c r="I16" i="5" s="1"/>
  <c r="H37" i="5"/>
  <c r="J19" i="3"/>
  <c r="J19" i="4"/>
  <c r="J20" i="4" s="1"/>
  <c r="J14" i="5"/>
  <c r="J15" i="5" s="1"/>
  <c r="J20" i="2" s="1"/>
  <c r="J10" i="4" s="1"/>
  <c r="I22" i="6"/>
  <c r="I27" i="5"/>
  <c r="I12" i="4"/>
  <c r="I21" i="3"/>
  <c r="I23" i="6"/>
  <c r="I14" i="4"/>
  <c r="I29" i="5"/>
  <c r="H32" i="6"/>
  <c r="H9" i="6"/>
  <c r="I26" i="6"/>
  <c r="G32" i="6"/>
  <c r="G9" i="6"/>
  <c r="J13" i="4"/>
  <c r="J28" i="5"/>
  <c r="J14" i="2"/>
  <c r="J30" i="5"/>
  <c r="J15" i="4"/>
  <c r="I23" i="5"/>
  <c r="I22" i="2" s="1"/>
  <c r="I22" i="5"/>
  <c r="H31" i="6"/>
  <c r="J13" i="2" l="1"/>
  <c r="F27" i="2"/>
  <c r="F25" i="4" s="1"/>
  <c r="F26" i="4" s="1"/>
  <c r="F9" i="4"/>
  <c r="F16" i="4" s="1"/>
  <c r="F32" i="4" s="1"/>
  <c r="F10" i="6"/>
  <c r="F42" i="6"/>
  <c r="F32" i="2"/>
  <c r="I31" i="5"/>
  <c r="I32" i="5" s="1"/>
  <c r="I24" i="6"/>
  <c r="I21" i="2"/>
  <c r="I32" i="6" s="1"/>
  <c r="I31" i="2"/>
  <c r="J7" i="6"/>
  <c r="J19" i="2"/>
  <c r="J30" i="2"/>
  <c r="I22" i="3"/>
  <c r="J19" i="5"/>
  <c r="J22" i="6"/>
  <c r="J27" i="5"/>
  <c r="J12" i="4"/>
  <c r="J21" i="3"/>
  <c r="J14" i="4"/>
  <c r="J23" i="6"/>
  <c r="J29" i="5"/>
  <c r="I14" i="3"/>
  <c r="J8" i="5"/>
  <c r="J16" i="5" s="1"/>
  <c r="I37" i="5"/>
  <c r="I9" i="6" l="1"/>
  <c r="F27" i="3"/>
  <c r="F28" i="3" s="1"/>
  <c r="F44" i="6"/>
  <c r="F45" i="6" s="1"/>
  <c r="F28" i="2"/>
  <c r="F28" i="4"/>
  <c r="F30" i="4" s="1"/>
  <c r="F9" i="3" s="1"/>
  <c r="F36" i="5" s="1"/>
  <c r="J31" i="5"/>
  <c r="J32" i="5" s="1"/>
  <c r="J24" i="6"/>
  <c r="J23" i="5"/>
  <c r="J22" i="2" s="1"/>
  <c r="J22" i="5"/>
  <c r="J22" i="3" s="1"/>
  <c r="I31" i="6"/>
  <c r="I23" i="3"/>
  <c r="J14" i="3"/>
  <c r="J37" i="5"/>
  <c r="J8" i="6"/>
  <c r="J31" i="2"/>
  <c r="J21" i="2"/>
  <c r="F30" i="6" l="1"/>
  <c r="G29" i="4"/>
  <c r="F13" i="3"/>
  <c r="F16" i="6" s="1"/>
  <c r="G23" i="2"/>
  <c r="G24" i="2" s="1"/>
  <c r="G25" i="2" s="1"/>
  <c r="F18" i="6"/>
  <c r="J31" i="6"/>
  <c r="F43" i="6"/>
  <c r="F29" i="6"/>
  <c r="F29" i="3"/>
  <c r="F13" i="6"/>
  <c r="F12" i="6"/>
  <c r="J32" i="6"/>
  <c r="J9" i="6"/>
  <c r="J23" i="3"/>
  <c r="F17" i="6" l="1"/>
  <c r="G26" i="2"/>
  <c r="G10" i="6" s="1"/>
  <c r="F16" i="3"/>
  <c r="F38" i="6" s="1"/>
  <c r="G32" i="2" l="1"/>
  <c r="F37" i="6"/>
  <c r="F31" i="3"/>
  <c r="F35" i="5" s="1"/>
  <c r="G9" i="4"/>
  <c r="G16" i="4" s="1"/>
  <c r="G32" i="4" s="1"/>
  <c r="G36" i="6"/>
  <c r="G27" i="2"/>
  <c r="G25" i="4" s="1"/>
  <c r="G26" i="4" s="1"/>
  <c r="F11" i="6"/>
  <c r="F25" i="6"/>
  <c r="F33" i="6"/>
  <c r="G42" i="6"/>
  <c r="F39" i="6"/>
  <c r="G28" i="2" l="1"/>
  <c r="G27" i="3"/>
  <c r="G28" i="3" s="1"/>
  <c r="G43" i="6" s="1"/>
  <c r="G44" i="6"/>
  <c r="G45" i="6" s="1"/>
  <c r="G28" i="4"/>
  <c r="G30" i="4" s="1"/>
  <c r="G9" i="3" s="1"/>
  <c r="G18" i="6" s="1"/>
  <c r="G36" i="5" l="1"/>
  <c r="G12" i="6"/>
  <c r="G13" i="6"/>
  <c r="G13" i="3"/>
  <c r="G16" i="3" s="1"/>
  <c r="G29" i="3"/>
  <c r="G29" i="6"/>
  <c r="G30" i="6"/>
  <c r="H29" i="4"/>
  <c r="H23" i="2"/>
  <c r="H24" i="2" s="1"/>
  <c r="H25" i="2" s="1"/>
  <c r="G17" i="6" l="1"/>
  <c r="G16" i="6"/>
  <c r="H26" i="2"/>
  <c r="H42" i="6" s="1"/>
  <c r="G33" i="6"/>
  <c r="G31" i="3"/>
  <c r="G35" i="5" s="1"/>
  <c r="G38" i="6"/>
  <c r="G37" i="6"/>
  <c r="G25" i="6"/>
  <c r="G11" i="6"/>
  <c r="H36" i="6" l="1"/>
  <c r="H32" i="2"/>
  <c r="H9" i="4"/>
  <c r="H16" i="4" s="1"/>
  <c r="H32" i="4" s="1"/>
  <c r="H27" i="2"/>
  <c r="H25" i="4" s="1"/>
  <c r="H26" i="4" s="1"/>
  <c r="H10" i="6"/>
  <c r="G39" i="6"/>
  <c r="H44" i="6" l="1"/>
  <c r="H45" i="6" s="1"/>
  <c r="H28" i="2"/>
  <c r="H28" i="4"/>
  <c r="H30" i="4" s="1"/>
  <c r="H9" i="3" s="1"/>
  <c r="H18" i="6" s="1"/>
  <c r="H27" i="3"/>
  <c r="H28" i="3" s="1"/>
  <c r="H36" i="5"/>
  <c r="I23" i="2"/>
  <c r="I24" i="2" s="1"/>
  <c r="I25" i="2" s="1"/>
  <c r="I29" i="4"/>
  <c r="H30" i="6"/>
  <c r="H43" i="6"/>
  <c r="H29" i="3"/>
  <c r="H29" i="6"/>
  <c r="H12" i="6"/>
  <c r="H13" i="6"/>
  <c r="H13" i="3" l="1"/>
  <c r="H16" i="3" s="1"/>
  <c r="I26" i="2"/>
  <c r="H16" i="6" l="1"/>
  <c r="H17" i="6"/>
  <c r="I42" i="6"/>
  <c r="I10" i="6"/>
  <c r="I27" i="2"/>
  <c r="I25" i="4" s="1"/>
  <c r="I26" i="4" s="1"/>
  <c r="I32" i="2"/>
  <c r="I9" i="4"/>
  <c r="I16" i="4" s="1"/>
  <c r="I32" i="4" s="1"/>
  <c r="I36" i="6"/>
  <c r="H33" i="6"/>
  <c r="H31" i="3"/>
  <c r="H35" i="5" s="1"/>
  <c r="H38" i="6"/>
  <c r="H37" i="6"/>
  <c r="H25" i="6"/>
  <c r="H11" i="6"/>
  <c r="I27" i="3" l="1"/>
  <c r="I28" i="3" s="1"/>
  <c r="H39" i="6"/>
  <c r="I28" i="4"/>
  <c r="I30" i="4" s="1"/>
  <c r="I9" i="3" s="1"/>
  <c r="I44" i="6"/>
  <c r="I45" i="6" s="1"/>
  <c r="I28" i="2"/>
  <c r="I18" i="6" l="1"/>
  <c r="I36" i="5"/>
  <c r="I13" i="3"/>
  <c r="J29" i="4"/>
  <c r="J23" i="2"/>
  <c r="J24" i="2" s="1"/>
  <c r="J25" i="2" s="1"/>
  <c r="I30" i="6"/>
  <c r="I43" i="6"/>
  <c r="I29" i="6"/>
  <c r="I29" i="3"/>
  <c r="I13" i="6"/>
  <c r="I12" i="6"/>
  <c r="J26" i="2" l="1"/>
  <c r="I16" i="3"/>
  <c r="I17" i="6"/>
  <c r="I16" i="6"/>
  <c r="I38" i="6" l="1"/>
  <c r="I31" i="3"/>
  <c r="I35" i="5" s="1"/>
  <c r="I33" i="6"/>
  <c r="I37" i="6"/>
  <c r="I25" i="6"/>
  <c r="I11" i="6"/>
  <c r="J42" i="6"/>
  <c r="J27" i="2"/>
  <c r="J25" i="4" s="1"/>
  <c r="J26" i="4" s="1"/>
  <c r="J9" i="4"/>
  <c r="J16" i="4" s="1"/>
  <c r="J32" i="4" s="1"/>
  <c r="J10" i="6"/>
  <c r="J36" i="6"/>
  <c r="J32" i="2"/>
  <c r="J28" i="2" l="1"/>
  <c r="J27" i="3"/>
  <c r="J28" i="3" s="1"/>
  <c r="J43" i="6" s="1"/>
  <c r="I39" i="6"/>
  <c r="J44" i="6"/>
  <c r="J45" i="6" s="1"/>
  <c r="J28" i="4"/>
  <c r="J30" i="4" s="1"/>
  <c r="J9" i="3" s="1"/>
  <c r="J13" i="6" l="1"/>
  <c r="J12" i="6"/>
  <c r="J29" i="3"/>
  <c r="J29" i="6"/>
  <c r="J18" i="6"/>
  <c r="J13" i="3"/>
  <c r="J36" i="5"/>
  <c r="J30" i="6"/>
  <c r="J16" i="3" l="1"/>
  <c r="J17" i="6"/>
  <c r="J16" i="6"/>
  <c r="J31" i="3" l="1"/>
  <c r="J35" i="5" s="1"/>
  <c r="E39" i="5" s="1"/>
  <c r="J38" i="6"/>
  <c r="J33" i="6"/>
  <c r="J37" i="6"/>
  <c r="J25" i="6"/>
  <c r="J11" i="6"/>
  <c r="J3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16" authorId="0" shapeId="0" xr:uid="{00000000-0006-0000-0000-000001000000}">
      <text>
        <r>
          <rPr>
            <sz val="10"/>
            <rFont val="Arial"/>
            <family val="2"/>
          </rPr>
          <t>New CapEx is depreciated straight-line over this many years.</t>
        </r>
      </text>
    </comment>
    <comment ref="C17" authorId="0" shapeId="0" xr:uid="{00000000-0006-0000-0000-000002000000}">
      <text>
        <r>
          <rPr>
            <sz val="10"/>
            <rFont val="Arial"/>
            <family val="2"/>
          </rPr>
          <t>Year-0 net PP&amp;E is depreciated over this many remaining years.</t>
        </r>
      </text>
    </comment>
  </commentList>
</comments>
</file>

<file path=xl/sharedStrings.xml><?xml version="1.0" encoding="utf-8"?>
<sst xmlns="http://schemas.openxmlformats.org/spreadsheetml/2006/main" count="251" uniqueCount="204">
  <si>
    <t>The statements and schedules all read from here.</t>
  </si>
  <si>
    <t>GROWTH &amp; MARGIN</t>
  </si>
  <si>
    <t>Year 1</t>
  </si>
  <si>
    <t>Year 2</t>
  </si>
  <si>
    <t>Year 3</t>
  </si>
  <si>
    <t>Year 4</t>
  </si>
  <si>
    <t>Year 5</t>
  </si>
  <si>
    <t>Revenue growth (%)</t>
  </si>
  <si>
    <t>Gross margin (%)</t>
  </si>
  <si>
    <t>CapEx (% of revenue)</t>
  </si>
  <si>
    <t>Tax rate</t>
  </si>
  <si>
    <t>Dividend payout ratio</t>
  </si>
  <si>
    <t>DEPRECIATION</t>
  </si>
  <si>
    <t>Useful life of new CapEx (years)</t>
  </si>
  <si>
    <t>Remaining life of existing PP&amp;E (years)</t>
  </si>
  <si>
    <t>WORKING CAPITAL</t>
  </si>
  <si>
    <t>Days inventory outstanding</t>
  </si>
  <si>
    <t>Other current assets (% rev)</t>
  </si>
  <si>
    <t>Other current liabilities (% rev)</t>
  </si>
  <si>
    <t>FINANCING</t>
  </si>
  <si>
    <t>Interest rate on debt</t>
  </si>
  <si>
    <t>Interest rate on cash</t>
  </si>
  <si>
    <t>Scheduled debt repayment</t>
  </si>
  <si>
    <t>New debt drawdown</t>
  </si>
  <si>
    <t>Equity issuance</t>
  </si>
  <si>
    <t>OTHER</t>
  </si>
  <si>
    <t>Shares outstanding (mm)</t>
  </si>
  <si>
    <t>Income Statement</t>
  </si>
  <si>
    <t>Income statement</t>
  </si>
  <si>
    <t>Actual</t>
  </si>
  <si>
    <t>Revenue</t>
  </si>
  <si>
    <t>Cost of goods sold</t>
  </si>
  <si>
    <t>Gross profit</t>
  </si>
  <si>
    <t>EBITDA</t>
  </si>
  <si>
    <t>Depreciation &amp; amortisation</t>
  </si>
  <si>
    <t>EBIT</t>
  </si>
  <si>
    <t>Interest expense</t>
  </si>
  <si>
    <t>Interest income</t>
  </si>
  <si>
    <t>Earnings before tax</t>
  </si>
  <si>
    <t>Income taxes</t>
  </si>
  <si>
    <t>Net income</t>
  </si>
  <si>
    <t>Dividends</t>
  </si>
  <si>
    <t>Retained earnings (to BS)</t>
  </si>
  <si>
    <t>Gross margin</t>
  </si>
  <si>
    <t>EBITDA margin</t>
  </si>
  <si>
    <t>Net margin</t>
  </si>
  <si>
    <t>Balance Sheet</t>
  </si>
  <si>
    <t>Balance sheet</t>
  </si>
  <si>
    <t>Assets</t>
  </si>
  <si>
    <t>Cash &amp; equivalents</t>
  </si>
  <si>
    <t>Accounts receivable</t>
  </si>
  <si>
    <t>Inventory</t>
  </si>
  <si>
    <t>Other current assets</t>
  </si>
  <si>
    <t>Total current assets</t>
  </si>
  <si>
    <t>Property, plant &amp; equipment, net</t>
  </si>
  <si>
    <t>Goodwill &amp; intangibles</t>
  </si>
  <si>
    <t>Total assets</t>
  </si>
  <si>
    <t>Liabilities</t>
  </si>
  <si>
    <t>Accounts payable</t>
  </si>
  <si>
    <t>Other current liabilities</t>
  </si>
  <si>
    <t>Total current liabilities</t>
  </si>
  <si>
    <t>Long-term debt</t>
  </si>
  <si>
    <t>Total liabilities</t>
  </si>
  <si>
    <t>Equity</t>
  </si>
  <si>
    <t>Common equity / paid-in</t>
  </si>
  <si>
    <t>Retained earnings</t>
  </si>
  <si>
    <t>Total equity</t>
  </si>
  <si>
    <t>Total liabilities &amp; equity</t>
  </si>
  <si>
    <t>Balance check (assets - L&amp;E)</t>
  </si>
  <si>
    <t>Cash Flow Statement</t>
  </si>
  <si>
    <t>$ millions.  Links net income, D&amp;A, working-capital changes, CapEx and the debt schedule.</t>
  </si>
  <si>
    <t>Cash flow statement</t>
  </si>
  <si>
    <t>Operating activities</t>
  </si>
  <si>
    <t>Plus: depreciation &amp; amortisation</t>
  </si>
  <si>
    <t>Less: increase in accounts receivable</t>
  </si>
  <si>
    <t>Less: increase in inventory</t>
  </si>
  <si>
    <t>Less: increase in other current assets</t>
  </si>
  <si>
    <t>Plus: increase in accounts payable</t>
  </si>
  <si>
    <t>Plus: increase in other current liabilities</t>
  </si>
  <si>
    <t>Cash from operations</t>
  </si>
  <si>
    <t>Investing activities</t>
  </si>
  <si>
    <t>Capital expenditures</t>
  </si>
  <si>
    <t>Cash from investing</t>
  </si>
  <si>
    <t>Financing activities</t>
  </si>
  <si>
    <t>Debt drawdown / (repayment)</t>
  </si>
  <si>
    <t>Dividends paid</t>
  </si>
  <si>
    <t>Cash from financing</t>
  </si>
  <si>
    <t>Net change in cash</t>
  </si>
  <si>
    <t>Beginning cash</t>
  </si>
  <si>
    <t>Ending cash</t>
  </si>
  <si>
    <t>Supporting Schedules</t>
  </si>
  <si>
    <t>CapEx &amp; depreciation waterfall · debt schedule · working capital · integrity checks.</t>
  </si>
  <si>
    <t>CAPEX &amp; DEPRECIATION SCHEDULE</t>
  </si>
  <si>
    <t>CapEx</t>
  </si>
  <si>
    <t>-</t>
  </si>
  <si>
    <t>Opening net PP&amp;E</t>
  </si>
  <si>
    <t>Depreciation - existing PP&amp;E</t>
  </si>
  <si>
    <t>Depreciation - Year 1 CapEx</t>
  </si>
  <si>
    <t>Depreciation - Year 2 CapEx</t>
  </si>
  <si>
    <t>Depreciation - Year 3 CapEx</t>
  </si>
  <si>
    <t>Depreciation - Year 4 CapEx</t>
  </si>
  <si>
    <t>Depreciation - Year 5 CapEx</t>
  </si>
  <si>
    <t>Total depreciation (to IS)</t>
  </si>
  <si>
    <t>Closing net PP&amp;E (to BS)</t>
  </si>
  <si>
    <t>DEBT SCHEDULE</t>
  </si>
  <si>
    <t>Beginning debt</t>
  </si>
  <si>
    <t>Less: scheduled repayment</t>
  </si>
  <si>
    <t>Plus: new drawdown</t>
  </si>
  <si>
    <t>Ending debt (to BS)</t>
  </si>
  <si>
    <t>Interest expense (to IS)</t>
  </si>
  <si>
    <t>WORKING CAPITAL SCHEDULE</t>
  </si>
  <si>
    <t>Less: accounts payable</t>
  </si>
  <si>
    <t>Less: other current liabilities</t>
  </si>
  <si>
    <t>Net working capital</t>
  </si>
  <si>
    <t>(Increase) / decrease in NWC</t>
  </si>
  <si>
    <t>INTEGRITY CHECKS</t>
  </si>
  <si>
    <t>Balance sheet balances (0 = OK)</t>
  </si>
  <si>
    <t>Ending cash &gt;= 0</t>
  </si>
  <si>
    <t>Closing PP&amp;E &gt;= 0</t>
  </si>
  <si>
    <t>Overall model status</t>
  </si>
  <si>
    <t>Ratios &amp; Analysis</t>
  </si>
  <si>
    <t>Key metrics across the actual year and the five-year projection.</t>
  </si>
  <si>
    <t>Profitability</t>
  </si>
  <si>
    <t>Operating (EBIT) margin</t>
  </si>
  <si>
    <t>Return on assets (ROA)</t>
  </si>
  <si>
    <t>Return on equity (ROE)</t>
  </si>
  <si>
    <t>Return on invested capital</t>
  </si>
  <si>
    <t>Liquidity</t>
  </si>
  <si>
    <t>Current ratio</t>
  </si>
  <si>
    <t>Quick ratio</t>
  </si>
  <si>
    <t>Cash ratio</t>
  </si>
  <si>
    <t>Efficiency</t>
  </si>
  <si>
    <t>Days sales outstanding</t>
  </si>
  <si>
    <t>Days payable outstanding</t>
  </si>
  <si>
    <t>Cash conversion cycle (days)</t>
  </si>
  <si>
    <t>Asset turnover</t>
  </si>
  <si>
    <t>Inventory turnover</t>
  </si>
  <si>
    <t>Leverage &amp; solvency</t>
  </si>
  <si>
    <t>Debt / equity</t>
  </si>
  <si>
    <t>Net debt</t>
  </si>
  <si>
    <t>Debt / EBITDA</t>
  </si>
  <si>
    <t>Interest coverage (EBIT / int.)</t>
  </si>
  <si>
    <t>Equity multiplier</t>
  </si>
  <si>
    <t>DuPont decomposition</t>
  </si>
  <si>
    <t>x Asset turnover</t>
  </si>
  <si>
    <t>x Equity multiplier</t>
  </si>
  <si>
    <t>Return on equity (DuPont)</t>
  </si>
  <si>
    <t>Per-share &amp; cash flow</t>
  </si>
  <si>
    <t>Earnings per share (EPS)</t>
  </si>
  <si>
    <t>Book value per share</t>
  </si>
  <si>
    <t>Free cash flow (CFO - CapEx)</t>
  </si>
  <si>
    <t>Free cash flow margin</t>
  </si>
  <si>
    <t>How to use this financial model</t>
  </si>
  <si>
    <t>What it is</t>
  </si>
  <si>
    <t>A fully-integrated three-statement model with supporting schedules (CapEx &amp; depreciation, debt, working capital), a ratios dashboard, and built-in integrity checks.</t>
  </si>
  <si>
    <t>Step 1</t>
  </si>
  <si>
    <t>On Assumptions, set growth, margins, tax, payout, asset lives, working-capital days, and financing (blue cells).</t>
  </si>
  <si>
    <t>Step 2</t>
  </si>
  <si>
    <t>On each statement, enter Year-0 (last actual) figures in the blue cells. Confirm the Balance Sheet balance check (row 31) reads 0.</t>
  </si>
  <si>
    <t>Step 3</t>
  </si>
  <si>
    <t>The Schedules tab builds D&amp;A from a CapEx waterfall, rolls PP&amp;E and debt, and shows working capital. The statements read from it automatically.</t>
  </si>
  <si>
    <t>Step 4</t>
  </si>
  <si>
    <t>Review the Cash Flow, the Ratios dashboard, and the Integrity Checks at the bottom of Schedules (Overall status should read MODEL OK).</t>
  </si>
  <si>
    <t>Depreciation</t>
  </si>
  <si>
    <t>New CapEx is depreciated straight-line over its useful life; Year-0 PP&amp;E over its remaining life. Change either life on the Assumptions tab.</t>
  </si>
  <si>
    <t>Debt</t>
  </si>
  <si>
    <t>Set scheduled repayments and any new drawdowns per year; the schedule computes interest on the beginning balance (no circular references).</t>
  </si>
  <si>
    <t>Colour key</t>
  </si>
  <si>
    <t>Blue = inputs you fill in.  Black = formulas - leave them alone.</t>
  </si>
  <si>
    <t>Note</t>
  </si>
  <si>
    <t>Ships with a balanced example so it works out of the box. Replace blue cells with real figures. Educational use only; not investment advice.</t>
  </si>
  <si>
    <t>SCENARIO</t>
  </si>
  <si>
    <t>Base</t>
  </si>
  <si>
    <t>Shifts the 5 operating drivers (tune amounts in the Scenario Dial below).</t>
  </si>
  <si>
    <t>Driver</t>
  </si>
  <si>
    <t>Conservative</t>
  </si>
  <si>
    <t>Optimistic</t>
  </si>
  <si>
    <t>Applied now</t>
  </si>
  <si>
    <t>Revenue growth</t>
  </si>
  <si>
    <t>CapEx (% rev)</t>
  </si>
  <si>
    <t>Financial Model: Assumptions</t>
  </si>
  <si>
    <t>FY-3</t>
  </si>
  <si>
    <t>FY-2</t>
  </si>
  <si>
    <t>FY-1</t>
  </si>
  <si>
    <t>Opex growth rate (%)</t>
  </si>
  <si>
    <t>Operating expenses</t>
  </si>
  <si>
    <t>Working capital (DSO/DIO days)</t>
  </si>
  <si>
    <t>Opex growth</t>
  </si>
  <si>
    <t xml:space="preserve">   General &amp; administrative</t>
  </si>
  <si>
    <t xml:space="preserve">   Research &amp; development</t>
  </si>
  <si>
    <t xml:space="preserve">   Sales &amp; marketing</t>
  </si>
  <si>
    <t xml:space="preserve">   Manufacturing overhead</t>
  </si>
  <si>
    <t xml:space="preserve">   Direct labour</t>
  </si>
  <si>
    <t xml:space="preserve">   Materials</t>
  </si>
  <si>
    <t xml:space="preserve">   Services revenue</t>
  </si>
  <si>
    <t xml:space="preserve">   Product revenue</t>
  </si>
  <si>
    <t>All projection drivers. Blue = inputs.  FY-3 to FY-1 = history; Years 1-5 projected.</t>
  </si>
  <si>
    <t>$ millions.  FY-3 to FY-1 = history (blue inputs); Years 1-5 projected. D&amp;A and interest come from the Schedules tab.</t>
  </si>
  <si>
    <t>$ millions.  Each historical year must balance (check row 31 = 0); PP&amp;E and debt roll from the Schedules tab.</t>
  </si>
  <si>
    <t>SCENARIO DIAL  |  shifts applied to the operating drivers (percentage points; working capital in days)</t>
  </si>
  <si>
    <t>Days sales outstanding (AR), auto from history</t>
  </si>
  <si>
    <t>Days inventory outstanding, auto from history</t>
  </si>
  <si>
    <t>Days payable outstanding (AP), auto from history</t>
  </si>
  <si>
    <t>Free cash flow (CFO less CapEx)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</si>
</sst>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,##0;\(#,##0\);\-"/>
    <numFmt numFmtId="167" formatCode="0.0\x"/>
    <numFmt numFmtId="168" formatCode="\$#,##0.00"/>
  </numFmts>
  <fonts count="25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sz val="9"/>
      <color rgb="FFFFFFFF"/>
      <name val="Arial"/>
      <charset val="1"/>
    </font>
    <font>
      <sz val="10"/>
      <color rgb="FF000000"/>
      <name val="Arial"/>
      <charset val="1"/>
    </font>
    <font>
      <i/>
      <sz val="9"/>
      <color rgb="FF5C6B64"/>
      <name val="Arial"/>
      <charset val="1"/>
    </font>
    <font>
      <b/>
      <sz val="10"/>
      <color rgb="FFFFFFFF"/>
      <name val="Arial"/>
      <charset val="1"/>
    </font>
    <font>
      <b/>
      <sz val="9"/>
      <color rgb="FF0A2540"/>
      <name val="Arial"/>
      <charset val="1"/>
    </font>
    <font>
      <sz val="10"/>
      <color rgb="FF0000FF"/>
      <name val="Arial"/>
      <charset val="1"/>
    </font>
    <font>
      <sz val="10"/>
      <name val="Arial"/>
      <family val="2"/>
    </font>
    <font>
      <b/>
      <sz val="10"/>
      <color rgb="FF0A5C65"/>
      <name val="Arial"/>
      <charset val="1"/>
    </font>
    <font>
      <b/>
      <sz val="10"/>
      <color rgb="FF000000"/>
      <name val="Arial"/>
      <charset val="1"/>
    </font>
    <font>
      <sz val="10"/>
      <color rgb="FF5C6B64"/>
      <name val="Arial"/>
      <charset val="1"/>
    </font>
    <font>
      <i/>
      <sz val="10"/>
      <color rgb="FF5C6B64"/>
      <name val="Arial"/>
      <charset val="1"/>
    </font>
    <font>
      <b/>
      <sz val="10"/>
      <color rgb="FF1E7A4D"/>
      <name val="Arial"/>
      <charset val="1"/>
    </font>
    <font>
      <b/>
      <sz val="10"/>
      <color rgb="FF5C6B64"/>
      <name val="Arial"/>
      <charset val="1"/>
    </font>
    <font>
      <b/>
      <sz val="11"/>
      <color theme="1"/>
      <name val="Calibri"/>
      <family val="2"/>
    </font>
    <font>
      <b/>
      <sz val="11"/>
      <color rgb="FF0A5C65"/>
      <name val="Calibri"/>
      <family val="2"/>
    </font>
    <font>
      <sz val="11"/>
      <color rgb="FF0000FF"/>
      <name val="Calibri"/>
      <family val="2"/>
      <charset val="1"/>
    </font>
    <font>
      <b/>
      <sz val="11"/>
      <color rgb="FF0000FF"/>
      <name val="Calibri"/>
      <family val="2"/>
    </font>
    <font>
      <i/>
      <sz val="11"/>
      <color rgb="FF5C6B64"/>
      <name val="Calibri"/>
      <family val="2"/>
    </font>
    <font>
      <b/>
      <sz val="11"/>
      <color rgb="FFFFFFFF"/>
      <name val="Calibri"/>
      <family val="2"/>
    </font>
    <font>
      <sz val="10"/>
      <color rgb="FF5C6B64"/>
      <name val="Arial"/>
      <family val="2"/>
    </font>
    <font>
      <sz val="10"/>
      <color rgb="FF0000FF"/>
      <name val="Arial"/>
      <family val="2"/>
    </font>
    <font>
      <i/>
      <sz val="10"/>
      <color rgb="FF5C6B64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A5C65"/>
        <bgColor rgb="FF1E7A4D"/>
      </patternFill>
    </fill>
    <fill>
      <patternFill patternType="solid">
        <fgColor rgb="FFEFE9DE"/>
        <bgColor rgb="FFFFF7E0"/>
      </patternFill>
    </fill>
    <fill>
      <patternFill patternType="solid">
        <fgColor rgb="FFFFF7E0"/>
        <bgColor rgb="FFFFFFFF"/>
      </patternFill>
    </fill>
    <fill>
      <patternFill patternType="solid">
        <fgColor rgb="FF1E7A4D"/>
        <bgColor rgb="FF0A5C65"/>
      </patternFill>
    </fill>
    <fill>
      <patternFill patternType="solid">
        <fgColor rgb="FFFFF7E0"/>
        <bgColor indexed="64"/>
      </patternFill>
    </fill>
    <fill>
      <patternFill patternType="solid">
        <fgColor rgb="FF0A5C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D9D2C4"/>
      </left>
      <right style="thin">
        <color rgb="FFD9D2C4"/>
      </right>
      <top style="thin">
        <color rgb="FFD9D2C4"/>
      </top>
      <bottom style="thin">
        <color rgb="FFD9D2C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7" fillId="4" borderId="2" xfId="0" applyNumberFormat="1" applyFont="1" applyFill="1" applyBorder="1" applyAlignment="1" applyProtection="1">
      <alignment horizontal="right" vertical="center"/>
      <protection locked="0"/>
    </xf>
    <xf numFmtId="165" fontId="7" fillId="4" borderId="2" xfId="0" applyNumberFormat="1" applyFont="1" applyFill="1" applyBorder="1" applyAlignment="1" applyProtection="1">
      <alignment horizontal="right" vertical="center"/>
      <protection locked="0"/>
    </xf>
    <xf numFmtId="166" fontId="7" fillId="4" borderId="2" xfId="0" applyNumberFormat="1" applyFont="1" applyFill="1" applyBorder="1" applyAlignment="1" applyProtection="1">
      <alignment horizontal="right" vertical="center"/>
      <protection locked="0"/>
    </xf>
    <xf numFmtId="3" fontId="7" fillId="4" borderId="2" xfId="0" applyNumberFormat="1" applyFont="1" applyFill="1" applyBorder="1" applyAlignment="1" applyProtection="1">
      <alignment horizontal="right" vertical="center"/>
      <protection locked="0"/>
    </xf>
    <xf numFmtId="164" fontId="17" fillId="6" borderId="0" xfId="0" applyNumberFormat="1" applyFont="1" applyFill="1" applyProtection="1">
      <protection locked="0"/>
    </xf>
    <xf numFmtId="165" fontId="17" fillId="6" borderId="0" xfId="0" applyNumberFormat="1" applyFont="1" applyFill="1" applyProtection="1">
      <protection locked="0"/>
    </xf>
    <xf numFmtId="166" fontId="22" fillId="4" borderId="0" xfId="0" applyNumberFormat="1" applyFont="1" applyFill="1" applyAlignment="1" applyProtection="1">
      <alignment horizontal="right" vertical="center"/>
      <protection locked="0"/>
    </xf>
    <xf numFmtId="166" fontId="22" fillId="4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2" xfId="0" applyNumberFormat="1" applyFont="1" applyBorder="1" applyAlignment="1" applyProtection="1">
      <alignment horizontal="right" vertical="center"/>
      <protection locked="0"/>
    </xf>
    <xf numFmtId="165" fontId="23" fillId="4" borderId="2" xfId="0" applyNumberFormat="1" applyFont="1" applyFill="1" applyBorder="1" applyAlignment="1" applyProtection="1">
      <alignment horizontal="right" vertical="center"/>
      <protection locked="0"/>
    </xf>
    <xf numFmtId="166" fontId="21" fillId="0" borderId="0" xfId="0" applyNumberFormat="1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164" fontId="15" fillId="0" borderId="0" xfId="0" applyNumberFormat="1" applyFont="1" applyProtection="1">
      <protection locked="0"/>
    </xf>
    <xf numFmtId="165" fontId="15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166" fontId="3" fillId="0" borderId="0" xfId="0" applyNumberFormat="1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66" fontId="10" fillId="0" borderId="0" xfId="0" applyNumberFormat="1" applyFont="1" applyAlignment="1" applyProtection="1">
      <alignment horizontal="right" vertical="center"/>
      <protection locked="0"/>
    </xf>
    <xf numFmtId="166" fontId="10" fillId="0" borderId="3" xfId="0" applyNumberFormat="1" applyFont="1" applyBorder="1" applyAlignment="1" applyProtection="1">
      <alignment horizontal="right" vertical="center"/>
      <protection locked="0"/>
    </xf>
    <xf numFmtId="166" fontId="11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4" fontId="12" fillId="0" borderId="0" xfId="0" applyNumberFormat="1" applyFont="1" applyAlignment="1" applyProtection="1">
      <alignment horizontal="right" vertical="center"/>
      <protection locked="0"/>
    </xf>
    <xf numFmtId="166" fontId="9" fillId="0" borderId="0" xfId="0" applyNumberFormat="1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166" fontId="24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66" fontId="13" fillId="0" borderId="0" xfId="0" applyNumberFormat="1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167" fontId="3" fillId="0" borderId="0" xfId="0" applyNumberFormat="1" applyFont="1" applyAlignment="1" applyProtection="1">
      <alignment horizontal="right" vertical="center"/>
      <protection locked="0"/>
    </xf>
    <xf numFmtId="165" fontId="3" fillId="0" borderId="0" xfId="0" applyNumberFormat="1" applyFont="1" applyAlignment="1" applyProtection="1">
      <alignment horizontal="right" vertical="center"/>
      <protection locked="0"/>
    </xf>
    <xf numFmtId="164" fontId="11" fillId="0" borderId="0" xfId="0" applyNumberFormat="1" applyFont="1" applyAlignment="1" applyProtection="1">
      <alignment horizontal="right" vertical="center"/>
      <protection locked="0"/>
    </xf>
    <xf numFmtId="167" fontId="11" fillId="0" borderId="0" xfId="0" applyNumberFormat="1" applyFont="1" applyAlignment="1" applyProtection="1">
      <alignment horizontal="right" vertical="center"/>
      <protection locked="0"/>
    </xf>
    <xf numFmtId="168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0" fillId="7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0" fillId="7" borderId="0" xfId="0" applyFont="1" applyFill="1" applyProtection="1">
      <protection locked="0"/>
    </xf>
    <xf numFmtId="0" fontId="0" fillId="7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A4D"/>
      <rgbColor rgb="FFD9D2C4"/>
      <rgbColor rgb="FF808080"/>
      <rgbColor rgb="FF9999FF"/>
      <rgbColor rgb="FF993366"/>
      <rgbColor rgb="FFFFF7E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A5C65"/>
      <rgbColor rgb="FF0000FF"/>
      <rgbColor rgb="FF00CCFF"/>
      <rgbColor rgb="FFCCFFFF"/>
      <rgbColor rgb="FFEFE9D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C6B64"/>
      <rgbColor rgb="FF969696"/>
      <rgbColor rgb="FF0A254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5167313</xdr:colOff>
      <xdr:row>0</xdr:row>
      <xdr:rowOff>88900</xdr:rowOff>
    </xdr:from>
    <xdr:to>
      <xdr:col>2</xdr:col>
      <xdr:colOff>6462713</xdr:colOff>
      <xdr:row>1</xdr:row>
      <xdr:rowOff>117475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A0EBE505-C962-5C6D-BB5C-8FC2634AE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91263" y="88900"/>
          <a:ext cx="1295400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225425</xdr:colOff>
      <xdr:row>0</xdr:row>
      <xdr:rowOff>88900</xdr:rowOff>
    </xdr:from>
    <xdr:to>
      <xdr:col>7</xdr:col>
      <xdr:colOff>695325</xdr:colOff>
      <xdr:row>1</xdr:row>
      <xdr:rowOff>120650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BDA66DCC-9840-36C2-2F90-6CD03F90C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76988" y="88900"/>
          <a:ext cx="1295400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88900</xdr:rowOff>
    </xdr:from>
    <xdr:to>
      <xdr:col>9</xdr:col>
      <xdr:colOff>676275</xdr:colOff>
      <xdr:row>1</xdr:row>
      <xdr:rowOff>117475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10567F6F-EDB6-491D-9CDF-A263394E9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67550" y="88900"/>
          <a:ext cx="1295400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88900</xdr:rowOff>
    </xdr:from>
    <xdr:to>
      <xdr:col>9</xdr:col>
      <xdr:colOff>676275</xdr:colOff>
      <xdr:row>1</xdr:row>
      <xdr:rowOff>117475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91C5C182-C43D-592E-D9FC-A88E5D6E9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39013" y="88900"/>
          <a:ext cx="1295400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88900</xdr:rowOff>
    </xdr:from>
    <xdr:to>
      <xdr:col>9</xdr:col>
      <xdr:colOff>676275</xdr:colOff>
      <xdr:row>1</xdr:row>
      <xdr:rowOff>117475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64155F89-7C65-FE3B-10C6-39B8416F8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39063" y="88900"/>
          <a:ext cx="1295400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88900</xdr:rowOff>
    </xdr:from>
    <xdr:to>
      <xdr:col>9</xdr:col>
      <xdr:colOff>676275</xdr:colOff>
      <xdr:row>1</xdr:row>
      <xdr:rowOff>117475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75F7E09-1381-B400-4755-EC697350A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91400" y="88900"/>
          <a:ext cx="1295400" cy="381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88900</xdr:rowOff>
    </xdr:from>
    <xdr:to>
      <xdr:col>9</xdr:col>
      <xdr:colOff>676275</xdr:colOff>
      <xdr:row>1</xdr:row>
      <xdr:rowOff>117475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E5A0F687-D1D7-2C0F-CF6D-DAE0E01BE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15200" y="88900"/>
          <a:ext cx="129540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12"/>
  <sheetViews>
    <sheetView showGridLines="0" zoomScaleNormal="100" workbookViewId="0">
      <selection activeCell="C13" sqref="C13"/>
    </sheetView>
  </sheetViews>
  <sheetFormatPr defaultColWidth="8.6640625" defaultRowHeight="14.25" x14ac:dyDescent="0.45"/>
  <cols>
    <col min="1" max="1" width="3.1328125" style="12" customWidth="1"/>
    <col min="2" max="2" width="12.59765625" style="12" customWidth="1"/>
    <col min="3" max="3" width="92.59765625" style="12" customWidth="1"/>
    <col min="4" max="8" width="12" style="12" customWidth="1"/>
    <col min="9" max="9" width="2.265625" style="12" customWidth="1"/>
    <col min="10" max="16384" width="8.6640625" style="12"/>
  </cols>
  <sheetData>
    <row r="1" spans="1:3" customFormat="1" ht="28.05" customHeight="1" x14ac:dyDescent="0.45">
      <c r="A1" s="48" t="s">
        <v>152</v>
      </c>
      <c r="B1" s="48"/>
      <c r="C1" s="48"/>
    </row>
    <row r="2" spans="1:3" customFormat="1" ht="16.05" customHeight="1" x14ac:dyDescent="0.45">
      <c r="A2" s="47"/>
      <c r="B2" s="47"/>
      <c r="C2" s="47"/>
    </row>
    <row r="3" spans="1:3" ht="45.85" customHeight="1" x14ac:dyDescent="0.45">
      <c r="B3" s="21" t="s">
        <v>153</v>
      </c>
      <c r="C3" s="44" t="s">
        <v>154</v>
      </c>
    </row>
    <row r="4" spans="1:3" ht="45.85" customHeight="1" x14ac:dyDescent="0.45">
      <c r="B4" s="21" t="s">
        <v>155</v>
      </c>
      <c r="C4" s="44" t="s">
        <v>156</v>
      </c>
    </row>
    <row r="5" spans="1:3" ht="45.85" customHeight="1" x14ac:dyDescent="0.45">
      <c r="B5" s="21" t="s">
        <v>157</v>
      </c>
      <c r="C5" s="44" t="s">
        <v>158</v>
      </c>
    </row>
    <row r="6" spans="1:3" ht="25.5" x14ac:dyDescent="0.45">
      <c r="B6" s="21" t="s">
        <v>159</v>
      </c>
      <c r="C6" s="44" t="s">
        <v>160</v>
      </c>
    </row>
    <row r="7" spans="1:3" ht="25.5" x14ac:dyDescent="0.45">
      <c r="B7" s="21" t="s">
        <v>161</v>
      </c>
      <c r="C7" s="44" t="s">
        <v>162</v>
      </c>
    </row>
    <row r="8" spans="1:3" ht="25.5" x14ac:dyDescent="0.45">
      <c r="B8" s="21" t="s">
        <v>163</v>
      </c>
      <c r="C8" s="44" t="s">
        <v>164</v>
      </c>
    </row>
    <row r="9" spans="1:3" ht="25.5" x14ac:dyDescent="0.45">
      <c r="B9" s="21" t="s">
        <v>165</v>
      </c>
      <c r="C9" s="44" t="s">
        <v>166</v>
      </c>
    </row>
    <row r="10" spans="1:3" ht="16.5" customHeight="1" x14ac:dyDescent="0.45">
      <c r="B10" s="21" t="s">
        <v>167</v>
      </c>
      <c r="C10" s="44" t="s">
        <v>168</v>
      </c>
    </row>
    <row r="11" spans="1:3" ht="16.5" customHeight="1" x14ac:dyDescent="0.45"/>
    <row r="12" spans="1:3" ht="25.5" x14ac:dyDescent="0.45">
      <c r="B12" s="45" t="s">
        <v>169</v>
      </c>
      <c r="C12" s="46" t="s">
        <v>170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C1"/>
  </mergeCells>
  <pageMargins left="0.75" right="0.75" top="1" bottom="1" header="0.511811023622047" footer="0.511811023622047"/>
  <pageSetup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zoomScale="60" zoomScaleNormal="100" workbookViewId="0">
      <pane ySplit="4" topLeftCell="A5" activePane="bottomLeft" state="frozen"/>
      <selection pane="bottomLeft" activeCell="C39" sqref="C39"/>
    </sheetView>
  </sheetViews>
  <sheetFormatPr defaultColWidth="8.6640625" defaultRowHeight="14.25" x14ac:dyDescent="0.45"/>
  <cols>
    <col min="1" max="1" width="3.1328125" style="12" customWidth="1"/>
    <col min="2" max="2" width="36.796875" style="12" bestFit="1" customWidth="1"/>
    <col min="3" max="8" width="11.59765625" style="12" customWidth="1"/>
    <col min="9" max="9" width="2.265625" style="12" customWidth="1"/>
    <col min="10" max="16384" width="8.6640625" style="12"/>
  </cols>
  <sheetData>
    <row r="1" spans="1:8" customFormat="1" ht="28.05" customHeight="1" x14ac:dyDescent="0.45">
      <c r="A1" s="48" t="s">
        <v>180</v>
      </c>
      <c r="B1" s="48"/>
      <c r="C1" s="48"/>
      <c r="D1" s="48"/>
      <c r="E1" s="48"/>
      <c r="F1" s="48"/>
      <c r="G1" s="48"/>
      <c r="H1" s="48"/>
    </row>
    <row r="2" spans="1:8" customFormat="1" ht="16.05" customHeight="1" x14ac:dyDescent="0.45">
      <c r="A2" s="49" t="s">
        <v>196</v>
      </c>
      <c r="B2" s="49"/>
      <c r="C2" s="49"/>
      <c r="D2" s="49"/>
      <c r="E2" s="49"/>
      <c r="F2" s="49"/>
      <c r="G2" s="49"/>
      <c r="H2" s="49"/>
    </row>
    <row r="3" spans="1:8" ht="3" customHeight="1" x14ac:dyDescent="0.45">
      <c r="A3" s="50"/>
      <c r="B3" s="50"/>
      <c r="C3" s="50"/>
      <c r="D3" s="50"/>
      <c r="E3" s="50"/>
      <c r="F3" s="50"/>
      <c r="G3" s="50"/>
      <c r="H3" s="50"/>
    </row>
    <row r="4" spans="1:8" x14ac:dyDescent="0.45">
      <c r="B4" s="13" t="s">
        <v>0</v>
      </c>
    </row>
    <row r="5" spans="1:8" x14ac:dyDescent="0.45">
      <c r="B5" s="14" t="s">
        <v>171</v>
      </c>
      <c r="C5" s="52" t="s">
        <v>172</v>
      </c>
      <c r="D5" s="53"/>
      <c r="E5" s="15" t="s">
        <v>173</v>
      </c>
    </row>
    <row r="6" spans="1:8" ht="16.5" customHeight="1" x14ac:dyDescent="0.45">
      <c r="B6" s="51" t="s">
        <v>1</v>
      </c>
      <c r="C6" s="51"/>
      <c r="D6" s="51"/>
      <c r="E6" s="51"/>
      <c r="F6" s="51"/>
      <c r="G6" s="51"/>
      <c r="H6" s="51"/>
    </row>
    <row r="7" spans="1:8" ht="16.5" customHeight="1" x14ac:dyDescent="0.45">
      <c r="D7" s="16" t="s">
        <v>2</v>
      </c>
      <c r="E7" s="16" t="s">
        <v>3</v>
      </c>
      <c r="F7" s="16" t="s">
        <v>4</v>
      </c>
      <c r="G7" s="16" t="s">
        <v>5</v>
      </c>
      <c r="H7" s="16" t="s">
        <v>6</v>
      </c>
    </row>
    <row r="8" spans="1:8" ht="16.5" customHeight="1" x14ac:dyDescent="0.45">
      <c r="B8" s="17" t="s">
        <v>7</v>
      </c>
      <c r="D8" s="1">
        <v>0.1</v>
      </c>
      <c r="E8" s="1">
        <v>0.1</v>
      </c>
      <c r="F8" s="1">
        <v>0.1</v>
      </c>
      <c r="G8" s="1">
        <v>0.1</v>
      </c>
      <c r="H8" s="1">
        <v>0.1</v>
      </c>
    </row>
    <row r="9" spans="1:8" ht="16.5" customHeight="1" x14ac:dyDescent="0.45">
      <c r="B9" s="17" t="s">
        <v>8</v>
      </c>
      <c r="D9" s="1">
        <v>0.4</v>
      </c>
      <c r="E9" s="1">
        <v>0.4</v>
      </c>
      <c r="F9" s="1">
        <v>0.4</v>
      </c>
      <c r="G9" s="1">
        <v>0.4</v>
      </c>
      <c r="H9" s="1">
        <v>0.4</v>
      </c>
    </row>
    <row r="10" spans="1:8" ht="16.5" customHeight="1" x14ac:dyDescent="0.45">
      <c r="B10" s="17" t="s">
        <v>184</v>
      </c>
      <c r="D10" s="1">
        <v>0.05</v>
      </c>
      <c r="E10" s="1">
        <v>0.05</v>
      </c>
      <c r="F10" s="1">
        <v>0.05</v>
      </c>
      <c r="G10" s="1">
        <v>0.05</v>
      </c>
      <c r="H10" s="1">
        <v>0.05</v>
      </c>
    </row>
    <row r="11" spans="1:8" ht="16.5" customHeight="1" x14ac:dyDescent="0.45">
      <c r="B11" s="17" t="s">
        <v>9</v>
      </c>
      <c r="D11" s="1">
        <v>0.06</v>
      </c>
      <c r="E11" s="1">
        <v>0.06</v>
      </c>
      <c r="F11" s="1">
        <v>0.06</v>
      </c>
      <c r="G11" s="1">
        <v>0.06</v>
      </c>
      <c r="H11" s="1">
        <v>0.06</v>
      </c>
    </row>
    <row r="12" spans="1:8" ht="16.5" customHeight="1" x14ac:dyDescent="0.45">
      <c r="B12" s="17" t="s">
        <v>10</v>
      </c>
      <c r="D12" s="1">
        <v>0.21</v>
      </c>
      <c r="E12" s="1">
        <v>0.21</v>
      </c>
      <c r="F12" s="1">
        <v>0.21</v>
      </c>
      <c r="G12" s="1">
        <v>0.21</v>
      </c>
      <c r="H12" s="1">
        <v>0.21</v>
      </c>
    </row>
    <row r="13" spans="1:8" ht="16.5" customHeight="1" x14ac:dyDescent="0.45">
      <c r="B13" s="17" t="s">
        <v>11</v>
      </c>
      <c r="D13" s="1">
        <v>0.3</v>
      </c>
      <c r="E13" s="1">
        <v>0.3</v>
      </c>
      <c r="F13" s="1">
        <v>0.3</v>
      </c>
      <c r="G13" s="1">
        <v>0.3</v>
      </c>
      <c r="H13" s="1">
        <v>0.3</v>
      </c>
    </row>
    <row r="14" spans="1:8" ht="16.5" customHeight="1" x14ac:dyDescent="0.45"/>
    <row r="15" spans="1:8" ht="16.5" customHeight="1" x14ac:dyDescent="0.45">
      <c r="B15" s="51" t="s">
        <v>12</v>
      </c>
      <c r="C15" s="51"/>
      <c r="D15" s="51"/>
      <c r="E15" s="51"/>
      <c r="F15" s="51"/>
      <c r="G15" s="51"/>
      <c r="H15" s="51"/>
    </row>
    <row r="16" spans="1:8" ht="16.5" customHeight="1" x14ac:dyDescent="0.45">
      <c r="B16" s="17" t="s">
        <v>13</v>
      </c>
      <c r="C16" s="2">
        <v>10</v>
      </c>
    </row>
    <row r="17" spans="2:8" ht="16.5" customHeight="1" x14ac:dyDescent="0.45">
      <c r="B17" s="17" t="s">
        <v>14</v>
      </c>
      <c r="C17" s="2">
        <v>10</v>
      </c>
    </row>
    <row r="18" spans="2:8" ht="16.5" customHeight="1" x14ac:dyDescent="0.45"/>
    <row r="19" spans="2:8" ht="16.5" customHeight="1" x14ac:dyDescent="0.45">
      <c r="B19" s="51" t="s">
        <v>15</v>
      </c>
      <c r="C19" s="51"/>
      <c r="D19" s="51"/>
      <c r="E19" s="51"/>
      <c r="F19" s="51"/>
      <c r="G19" s="51"/>
      <c r="H19" s="51"/>
    </row>
    <row r="20" spans="2:8" ht="16.5" customHeight="1" x14ac:dyDescent="0.45">
      <c r="B20" s="17" t="s">
        <v>200</v>
      </c>
      <c r="D20" s="10">
        <f>AVERAGE('Balance Sheet'!$C$10/'Income Statement'!$C$7,'Balance Sheet'!$D$10/'Income Statement'!$D$7,'Balance Sheet'!$E$10/'Income Statement'!$E$7)*365</f>
        <v>44.04032921810699</v>
      </c>
      <c r="E20" s="10">
        <f>AVERAGE('Balance Sheet'!$C$10/'Income Statement'!$C$7,'Balance Sheet'!$D$10/'Income Statement'!$D$7,'Balance Sheet'!$E$10/'Income Statement'!$E$7)*365</f>
        <v>44.04032921810699</v>
      </c>
      <c r="F20" s="10">
        <f>AVERAGE('Balance Sheet'!$C$10/'Income Statement'!$C$7,'Balance Sheet'!$D$10/'Income Statement'!$D$7,'Balance Sheet'!$E$10/'Income Statement'!$E$7)*365</f>
        <v>44.04032921810699</v>
      </c>
      <c r="G20" s="10">
        <f>AVERAGE('Balance Sheet'!$C$10/'Income Statement'!$C$7,'Balance Sheet'!$D$10/'Income Statement'!$D$7,'Balance Sheet'!$E$10/'Income Statement'!$E$7)*365</f>
        <v>44.04032921810699</v>
      </c>
      <c r="H20" s="10">
        <f>AVERAGE('Balance Sheet'!$C$10/'Income Statement'!$C$7,'Balance Sheet'!$D$10/'Income Statement'!$D$7,'Balance Sheet'!$E$10/'Income Statement'!$E$7)*365</f>
        <v>44.04032921810699</v>
      </c>
    </row>
    <row r="21" spans="2:8" ht="16.5" customHeight="1" x14ac:dyDescent="0.45">
      <c r="B21" s="17" t="s">
        <v>201</v>
      </c>
      <c r="D21" s="10">
        <f>AVERAGE('Balance Sheet'!$C$11/'Income Statement'!$C$10,'Balance Sheet'!$D$11/'Income Statement'!$D$10,'Balance Sheet'!$E$11/'Income Statement'!$E$10)*365</f>
        <v>54.782984411476768</v>
      </c>
      <c r="E21" s="10">
        <f>AVERAGE('Balance Sheet'!$C$11/'Income Statement'!$C$10,'Balance Sheet'!$D$11/'Income Statement'!$D$10,'Balance Sheet'!$E$11/'Income Statement'!$E$10)*365</f>
        <v>54.782984411476768</v>
      </c>
      <c r="F21" s="10">
        <f>AVERAGE('Balance Sheet'!$C$11/'Income Statement'!$C$10,'Balance Sheet'!$D$11/'Income Statement'!$D$10,'Balance Sheet'!$E$11/'Income Statement'!$E$10)*365</f>
        <v>54.782984411476768</v>
      </c>
      <c r="G21" s="10">
        <f>AVERAGE('Balance Sheet'!$C$11/'Income Statement'!$C$10,'Balance Sheet'!$D$11/'Income Statement'!$D$10,'Balance Sheet'!$E$11/'Income Statement'!$E$10)*365</f>
        <v>54.782984411476768</v>
      </c>
      <c r="H21" s="10">
        <f>AVERAGE('Balance Sheet'!$C$11/'Income Statement'!$C$10,'Balance Sheet'!$D$11/'Income Statement'!$D$10,'Balance Sheet'!$E$11/'Income Statement'!$E$10)*365</f>
        <v>54.782984411476768</v>
      </c>
    </row>
    <row r="22" spans="2:8" ht="16.5" customHeight="1" x14ac:dyDescent="0.45">
      <c r="B22" s="17" t="s">
        <v>202</v>
      </c>
      <c r="D22" s="10">
        <f>AVERAGE('Balance Sheet'!$C$19/'Income Statement'!$C$10,'Balance Sheet'!$D$19/'Income Statement'!$D$10,'Balance Sheet'!$E$19/'Income Statement'!$E$10)*365</f>
        <v>42.714049334370898</v>
      </c>
      <c r="E22" s="10">
        <f>AVERAGE('Balance Sheet'!$C$19/'Income Statement'!$C$10,'Balance Sheet'!$D$19/'Income Statement'!$D$10,'Balance Sheet'!$E$19/'Income Statement'!$E$10)*365</f>
        <v>42.714049334370898</v>
      </c>
      <c r="F22" s="10">
        <f>AVERAGE('Balance Sheet'!$C$19/'Income Statement'!$C$10,'Balance Sheet'!$D$19/'Income Statement'!$D$10,'Balance Sheet'!$E$19/'Income Statement'!$E$10)*365</f>
        <v>42.714049334370898</v>
      </c>
      <c r="G22" s="10">
        <f>AVERAGE('Balance Sheet'!$C$19/'Income Statement'!$C$10,'Balance Sheet'!$D$19/'Income Statement'!$D$10,'Balance Sheet'!$E$19/'Income Statement'!$E$10)*365</f>
        <v>42.714049334370898</v>
      </c>
      <c r="H22" s="10">
        <f>AVERAGE('Balance Sheet'!$C$19/'Income Statement'!$C$10,'Balance Sheet'!$D$19/'Income Statement'!$D$10,'Balance Sheet'!$E$19/'Income Statement'!$E$10)*365</f>
        <v>42.714049334370898</v>
      </c>
    </row>
    <row r="23" spans="2:8" ht="16.5" customHeight="1" x14ac:dyDescent="0.45">
      <c r="B23" s="17" t="s">
        <v>17</v>
      </c>
      <c r="D23" s="1">
        <v>0.03</v>
      </c>
      <c r="E23" s="1">
        <v>0.03</v>
      </c>
      <c r="F23" s="1">
        <v>0.03</v>
      </c>
      <c r="G23" s="1">
        <v>0.03</v>
      </c>
      <c r="H23" s="1">
        <v>0.03</v>
      </c>
    </row>
    <row r="24" spans="2:8" ht="16.5" customHeight="1" x14ac:dyDescent="0.45">
      <c r="B24" s="17" t="s">
        <v>18</v>
      </c>
      <c r="D24" s="1">
        <v>0.04</v>
      </c>
      <c r="E24" s="1">
        <v>0.04</v>
      </c>
      <c r="F24" s="1">
        <v>0.04</v>
      </c>
      <c r="G24" s="1">
        <v>0.04</v>
      </c>
      <c r="H24" s="1">
        <v>0.04</v>
      </c>
    </row>
    <row r="25" spans="2:8" ht="16.5" customHeight="1" x14ac:dyDescent="0.45"/>
    <row r="26" spans="2:8" ht="16.5" customHeight="1" x14ac:dyDescent="0.45">
      <c r="B26" s="51" t="s">
        <v>19</v>
      </c>
      <c r="C26" s="51"/>
      <c r="D26" s="51"/>
      <c r="E26" s="51"/>
      <c r="F26" s="51"/>
      <c r="G26" s="51"/>
      <c r="H26" s="51"/>
    </row>
    <row r="27" spans="2:8" ht="16.5" customHeight="1" x14ac:dyDescent="0.45">
      <c r="B27" s="17" t="s">
        <v>20</v>
      </c>
      <c r="D27" s="1">
        <v>0.05</v>
      </c>
      <c r="E27" s="1">
        <v>0.05</v>
      </c>
      <c r="F27" s="1">
        <v>0.05</v>
      </c>
      <c r="G27" s="1">
        <v>0.05</v>
      </c>
      <c r="H27" s="1">
        <v>0.05</v>
      </c>
    </row>
    <row r="28" spans="2:8" ht="16.5" customHeight="1" x14ac:dyDescent="0.45">
      <c r="B28" s="17" t="s">
        <v>21</v>
      </c>
      <c r="D28" s="1">
        <v>0.02</v>
      </c>
      <c r="E28" s="1">
        <v>0.02</v>
      </c>
      <c r="F28" s="1">
        <v>0.02</v>
      </c>
      <c r="G28" s="1">
        <v>0.02</v>
      </c>
      <c r="H28" s="1">
        <v>0.02</v>
      </c>
    </row>
    <row r="29" spans="2:8" ht="16.5" customHeight="1" x14ac:dyDescent="0.45">
      <c r="B29" s="17" t="s">
        <v>22</v>
      </c>
      <c r="D29" s="3">
        <v>20</v>
      </c>
      <c r="E29" s="3">
        <v>20</v>
      </c>
      <c r="F29" s="3">
        <v>20</v>
      </c>
      <c r="G29" s="3">
        <v>20</v>
      </c>
      <c r="H29" s="3">
        <v>20</v>
      </c>
    </row>
    <row r="30" spans="2:8" ht="16.5" customHeight="1" x14ac:dyDescent="0.45">
      <c r="B30" s="17" t="s">
        <v>23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</row>
    <row r="31" spans="2:8" ht="16.5" customHeight="1" x14ac:dyDescent="0.45">
      <c r="B31" s="17" t="s">
        <v>24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</row>
    <row r="32" spans="2:8" ht="16.5" customHeight="1" x14ac:dyDescent="0.45"/>
    <row r="33" spans="2:8" ht="16.5" customHeight="1" x14ac:dyDescent="0.45">
      <c r="B33" s="51" t="s">
        <v>25</v>
      </c>
      <c r="C33" s="51"/>
      <c r="D33" s="51"/>
      <c r="E33" s="51"/>
      <c r="F33" s="51"/>
      <c r="G33" s="51"/>
      <c r="H33" s="51"/>
    </row>
    <row r="34" spans="2:8" ht="16.5" customHeight="1" x14ac:dyDescent="0.45">
      <c r="B34" s="17" t="s">
        <v>26</v>
      </c>
      <c r="C34" s="4">
        <v>100</v>
      </c>
    </row>
    <row r="35" spans="2:8" ht="16.5" customHeight="1" x14ac:dyDescent="0.45"/>
    <row r="36" spans="2:8" ht="16.5" customHeight="1" x14ac:dyDescent="0.45">
      <c r="B36" s="54" t="s">
        <v>199</v>
      </c>
      <c r="C36" s="55"/>
      <c r="D36" s="55"/>
      <c r="E36" s="55"/>
      <c r="F36" s="55"/>
      <c r="G36" s="55"/>
      <c r="H36" s="55"/>
    </row>
    <row r="37" spans="2:8" ht="16.5" customHeight="1" x14ac:dyDescent="0.45">
      <c r="B37" s="18" t="s">
        <v>174</v>
      </c>
      <c r="C37" s="18" t="s">
        <v>175</v>
      </c>
      <c r="D37" s="18" t="s">
        <v>172</v>
      </c>
      <c r="E37" s="18" t="s">
        <v>176</v>
      </c>
      <c r="F37" s="18" t="s">
        <v>177</v>
      </c>
    </row>
    <row r="38" spans="2:8" ht="16.5" customHeight="1" x14ac:dyDescent="0.45">
      <c r="B38" s="12" t="s">
        <v>178</v>
      </c>
      <c r="C38" s="5">
        <v>-0.03</v>
      </c>
      <c r="D38" s="5">
        <v>0</v>
      </c>
      <c r="E38" s="5">
        <v>0.03</v>
      </c>
      <c r="F38" s="19">
        <f>IF($C$5="Conservative",C38,IF($C$5="Optimistic",E38,D38))</f>
        <v>0</v>
      </c>
    </row>
    <row r="39" spans="2:8" ht="16.5" customHeight="1" x14ac:dyDescent="0.45">
      <c r="B39" s="12" t="s">
        <v>43</v>
      </c>
      <c r="C39" s="5">
        <v>-0.02</v>
      </c>
      <c r="D39" s="5">
        <v>0</v>
      </c>
      <c r="E39" s="5">
        <v>0.02</v>
      </c>
      <c r="F39" s="19">
        <f>IF($C$5="Conservative",C39,IF($C$5="Optimistic",E39,D39))</f>
        <v>0</v>
      </c>
    </row>
    <row r="40" spans="2:8" ht="16.5" customHeight="1" x14ac:dyDescent="0.45">
      <c r="B40" s="12" t="s">
        <v>187</v>
      </c>
      <c r="C40" s="5">
        <v>0.01</v>
      </c>
      <c r="D40" s="5">
        <v>0</v>
      </c>
      <c r="E40" s="5">
        <v>-0.01</v>
      </c>
      <c r="F40" s="19">
        <f>IF($C$5="Conservative",C40,IF($C$5="Optimistic",E40,D40))</f>
        <v>0</v>
      </c>
    </row>
    <row r="41" spans="2:8" ht="16.5" customHeight="1" x14ac:dyDescent="0.45">
      <c r="B41" s="12" t="s">
        <v>179</v>
      </c>
      <c r="C41" s="5">
        <v>0.01</v>
      </c>
      <c r="D41" s="5">
        <v>0</v>
      </c>
      <c r="E41" s="5">
        <v>-0.01</v>
      </c>
      <c r="F41" s="19">
        <f>IF($C$5="Conservative",C41,IF($C$5="Optimistic",E41,D41))</f>
        <v>0</v>
      </c>
    </row>
    <row r="42" spans="2:8" ht="16.5" customHeight="1" x14ac:dyDescent="0.45">
      <c r="B42" s="12" t="s">
        <v>186</v>
      </c>
      <c r="C42" s="6">
        <v>5</v>
      </c>
      <c r="D42" s="6">
        <v>0</v>
      </c>
      <c r="E42" s="6">
        <v>-5</v>
      </c>
      <c r="F42" s="20">
        <f>IF($C$5="Conservative",C42,IF($C$5="Optimistic",E42,D42))</f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0">
    <mergeCell ref="B19:H19"/>
    <mergeCell ref="B26:H26"/>
    <mergeCell ref="B33:H33"/>
    <mergeCell ref="C5:D5"/>
    <mergeCell ref="B36:H36"/>
    <mergeCell ref="A1:H1"/>
    <mergeCell ref="A2:H2"/>
    <mergeCell ref="A3:H3"/>
    <mergeCell ref="B6:H6"/>
    <mergeCell ref="B15:H15"/>
  </mergeCells>
  <dataValidations count="1">
    <dataValidation type="list" allowBlank="1" showInputMessage="1" showErrorMessage="1" sqref="C5" xr:uid="{D6257D16-03B7-4430-98D6-4F3CE9A4892C}">
      <formula1>"Conservative,Base,Optimistic"</formula1>
    </dataValidation>
  </dataValidations>
  <pageMargins left="0.75" right="0.75" top="1" bottom="1" header="0.511811023622047" footer="0.511811023622047"/>
  <pageSetup scale="95" fitToHeight="0" orientation="landscape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showGridLines="0" zoomScaleNormal="100" workbookViewId="0">
      <pane ySplit="4" topLeftCell="A5" activePane="bottomLeft" state="frozen"/>
      <selection pane="bottomLeft" activeCell="F9" sqref="F9"/>
    </sheetView>
  </sheetViews>
  <sheetFormatPr defaultColWidth="8.6640625" defaultRowHeight="14.25" x14ac:dyDescent="0.45"/>
  <cols>
    <col min="1" max="1" width="3.1328125" style="12" customWidth="1"/>
    <col min="2" max="2" width="23.265625" style="12" bestFit="1" customWidth="1"/>
    <col min="3" max="10" width="11.59765625" style="12" customWidth="1"/>
    <col min="11" max="11" width="2.265625" style="12" customWidth="1"/>
    <col min="12" max="16384" width="8.6640625" style="12"/>
  </cols>
  <sheetData>
    <row r="1" spans="1:10" customFormat="1" ht="28.05" customHeight="1" x14ac:dyDescent="0.45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customFormat="1" ht="16.05" customHeight="1" x14ac:dyDescent="0.45">
      <c r="A2" s="49" t="s">
        <v>197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3" customHeight="1" x14ac:dyDescent="0.45">
      <c r="A3" s="50"/>
      <c r="B3" s="50"/>
      <c r="C3" s="50"/>
      <c r="D3" s="50"/>
      <c r="E3" s="50"/>
      <c r="F3" s="50"/>
      <c r="G3" s="50"/>
      <c r="H3" s="50"/>
      <c r="I3" s="50"/>
      <c r="J3" s="50"/>
    </row>
    <row r="6" spans="1:10" ht="16.5" customHeight="1" x14ac:dyDescent="0.45">
      <c r="B6" s="21" t="s">
        <v>28</v>
      </c>
      <c r="C6" s="21" t="s">
        <v>181</v>
      </c>
      <c r="D6" s="21" t="s">
        <v>182</v>
      </c>
      <c r="E6" s="16" t="s">
        <v>183</v>
      </c>
      <c r="F6" s="16" t="s">
        <v>2</v>
      </c>
      <c r="G6" s="16" t="s">
        <v>3</v>
      </c>
      <c r="H6" s="16" t="s">
        <v>4</v>
      </c>
      <c r="I6" s="16" t="s">
        <v>5</v>
      </c>
      <c r="J6" s="16" t="s">
        <v>6</v>
      </c>
    </row>
    <row r="7" spans="1:10" ht="16.5" customHeight="1" x14ac:dyDescent="0.45">
      <c r="B7" s="17" t="s">
        <v>30</v>
      </c>
      <c r="C7" s="9">
        <f>SUM(C8:C9)</f>
        <v>810</v>
      </c>
      <c r="D7" s="9">
        <f>SUM(D8:D9)</f>
        <v>900</v>
      </c>
      <c r="E7" s="9">
        <f>SUM(E8:E9)</f>
        <v>1000</v>
      </c>
      <c r="F7" s="22">
        <f>E7*(1+Assumptions!D8+Assumptions!$F$38)</f>
        <v>1100</v>
      </c>
      <c r="G7" s="22">
        <f>F7*(1+Assumptions!E8+Assumptions!$F$38)</f>
        <v>1210</v>
      </c>
      <c r="H7" s="22">
        <f>G7*(1+Assumptions!F8+Assumptions!$F$38)</f>
        <v>1331</v>
      </c>
      <c r="I7" s="22">
        <f>H7*(1+Assumptions!G8+Assumptions!$F$38)</f>
        <v>1464.1000000000001</v>
      </c>
      <c r="J7" s="22">
        <f>I7*(1+Assumptions!H8+Assumptions!$F$38)</f>
        <v>1610.5100000000002</v>
      </c>
    </row>
    <row r="8" spans="1:10" ht="16.5" customHeight="1" x14ac:dyDescent="0.45">
      <c r="B8" s="23" t="s">
        <v>195</v>
      </c>
      <c r="C8" s="8">
        <v>527</v>
      </c>
      <c r="D8" s="8">
        <v>585</v>
      </c>
      <c r="E8" s="8">
        <v>650</v>
      </c>
      <c r="F8" s="11">
        <f>F7*AVERAGE($C$8/$C$7,$D$8/$D$7,$E$8/$E$7)</f>
        <v>715.22633744855955</v>
      </c>
      <c r="G8" s="11">
        <f>G7*AVERAGE($C$8/$C$7,$D$8/$D$7,$E$8/$E$7)</f>
        <v>786.74897119341551</v>
      </c>
      <c r="H8" s="11">
        <f>H7*AVERAGE($C$8/$C$7,$D$8/$D$7,$E$8/$E$7)</f>
        <v>865.42386831275712</v>
      </c>
      <c r="I8" s="11">
        <f>I7*AVERAGE($C$8/$C$7,$D$8/$D$7,$E$8/$E$7)</f>
        <v>951.96625514403286</v>
      </c>
      <c r="J8" s="11">
        <f>J7*AVERAGE($C$8/$C$7,$D$8/$D$7,$E$8/$E$7)</f>
        <v>1047.1628806584363</v>
      </c>
    </row>
    <row r="9" spans="1:10" ht="16.5" customHeight="1" x14ac:dyDescent="0.45">
      <c r="B9" s="23" t="s">
        <v>194</v>
      </c>
      <c r="C9" s="8">
        <v>283</v>
      </c>
      <c r="D9" s="8">
        <v>315</v>
      </c>
      <c r="E9" s="8">
        <v>350</v>
      </c>
      <c r="F9" s="11">
        <f>F7-F8</f>
        <v>384.77366255144045</v>
      </c>
      <c r="G9" s="11">
        <f>G7-G8</f>
        <v>423.25102880658449</v>
      </c>
      <c r="H9" s="11">
        <f>H7-H8</f>
        <v>465.57613168724288</v>
      </c>
      <c r="I9" s="11">
        <f>I7-I8</f>
        <v>512.13374485596728</v>
      </c>
      <c r="J9" s="11">
        <f>J7-J8</f>
        <v>563.34711934156394</v>
      </c>
    </row>
    <row r="10" spans="1:10" ht="16.5" customHeight="1" x14ac:dyDescent="0.45">
      <c r="B10" s="17" t="s">
        <v>31</v>
      </c>
      <c r="C10" s="9">
        <f>SUM(C11:C13)</f>
        <v>490</v>
      </c>
      <c r="D10" s="9">
        <f>SUM(D11:D13)</f>
        <v>542</v>
      </c>
      <c r="E10" s="9">
        <f>SUM(E11:E13)</f>
        <v>600</v>
      </c>
      <c r="F10" s="22">
        <f>F7*(1-(Assumptions!D9+Assumptions!$F$39))</f>
        <v>660</v>
      </c>
      <c r="G10" s="22">
        <f>G7*(1-(Assumptions!E9+Assumptions!$F$39))</f>
        <v>726</v>
      </c>
      <c r="H10" s="22">
        <f>H7*(1-(Assumptions!F9+Assumptions!$F$39))</f>
        <v>798.6</v>
      </c>
      <c r="I10" s="22">
        <f>I7*(1-(Assumptions!G9+Assumptions!$F$39))</f>
        <v>878.46</v>
      </c>
      <c r="J10" s="22">
        <f>J7*(1-(Assumptions!H9+Assumptions!$F$39))</f>
        <v>966.30600000000004</v>
      </c>
    </row>
    <row r="11" spans="1:10" ht="16.5" customHeight="1" x14ac:dyDescent="0.45">
      <c r="B11" s="23" t="s">
        <v>193</v>
      </c>
      <c r="C11" s="7">
        <v>270</v>
      </c>
      <c r="D11" s="7">
        <v>298</v>
      </c>
      <c r="E11" s="7">
        <v>330</v>
      </c>
      <c r="F11" s="11">
        <f>F10*AVERAGE($C$11/$C$10,$D$11/$D$10,$E$11/$E$10)</f>
        <v>363.18389939001429</v>
      </c>
      <c r="G11" s="11">
        <f>G10*AVERAGE($C$11/$C$10,$D$11/$D$10,$E$11/$E$10)</f>
        <v>399.5022893290157</v>
      </c>
      <c r="H11" s="11">
        <f>H10*AVERAGE($C$11/$C$10,$D$11/$D$10,$E$11/$E$10)</f>
        <v>439.45251826191731</v>
      </c>
      <c r="I11" s="11">
        <f>I10*AVERAGE($C$11/$C$10,$D$11/$D$10,$E$11/$E$10)</f>
        <v>483.39777008810904</v>
      </c>
      <c r="J11" s="11">
        <f>J10*AVERAGE($C$11/$C$10,$D$11/$D$10,$E$11/$E$10)</f>
        <v>531.73754709691991</v>
      </c>
    </row>
    <row r="12" spans="1:10" ht="16.5" customHeight="1" x14ac:dyDescent="0.45">
      <c r="B12" s="23" t="s">
        <v>192</v>
      </c>
      <c r="C12" s="7">
        <v>147</v>
      </c>
      <c r="D12" s="7">
        <v>163</v>
      </c>
      <c r="E12" s="7">
        <v>180</v>
      </c>
      <c r="F12" s="11">
        <f>F10*AVERAGE($C$12/$C$10,$D$12/$D$10,$E$12/$E$10)</f>
        <v>198.16236162361622</v>
      </c>
      <c r="G12" s="11">
        <f>G10*AVERAGE($C$12/$C$10,$D$12/$D$10,$E$12/$E$10)</f>
        <v>217.97859778597785</v>
      </c>
      <c r="H12" s="11">
        <f>H10*AVERAGE($C$12/$C$10,$D$12/$D$10,$E$12/$E$10)</f>
        <v>239.77645756457565</v>
      </c>
      <c r="I12" s="11">
        <f>I10*AVERAGE($C$12/$C$10,$D$12/$D$10,$E$12/$E$10)</f>
        <v>263.7541033210332</v>
      </c>
      <c r="J12" s="11">
        <f>J10*AVERAGE($C$12/$C$10,$D$12/$D$10,$E$12/$E$10)</f>
        <v>290.12951365313654</v>
      </c>
    </row>
    <row r="13" spans="1:10" ht="16.5" customHeight="1" x14ac:dyDescent="0.45">
      <c r="B13" s="23" t="s">
        <v>191</v>
      </c>
      <c r="C13" s="7">
        <v>73</v>
      </c>
      <c r="D13" s="7">
        <v>81</v>
      </c>
      <c r="E13" s="7">
        <v>90</v>
      </c>
      <c r="F13" s="11">
        <f>F10-SUM(F11:F12)</f>
        <v>98.65373898636949</v>
      </c>
      <c r="G13" s="11">
        <f t="shared" ref="G13:J13" si="0">G10-SUM(G11:G12)</f>
        <v>108.51911288500651</v>
      </c>
      <c r="H13" s="11">
        <f t="shared" si="0"/>
        <v>119.37102417350707</v>
      </c>
      <c r="I13" s="11">
        <f t="shared" si="0"/>
        <v>131.3081265908578</v>
      </c>
      <c r="J13" s="11">
        <f t="shared" si="0"/>
        <v>144.43893924994359</v>
      </c>
    </row>
    <row r="14" spans="1:10" ht="16.5" customHeight="1" x14ac:dyDescent="0.45">
      <c r="B14" s="24" t="s">
        <v>32</v>
      </c>
      <c r="C14" s="25">
        <f>C7-C10</f>
        <v>320</v>
      </c>
      <c r="D14" s="25">
        <f>D7-D10</f>
        <v>358</v>
      </c>
      <c r="E14" s="25">
        <f>E7-E10</f>
        <v>400</v>
      </c>
      <c r="F14" s="25">
        <f>F7-F10</f>
        <v>440</v>
      </c>
      <c r="G14" s="25">
        <f>G7-G10</f>
        <v>484</v>
      </c>
      <c r="H14" s="25">
        <f>H7-H10</f>
        <v>532.4</v>
      </c>
      <c r="I14" s="25">
        <f>I7-I10</f>
        <v>585.6400000000001</v>
      </c>
      <c r="J14" s="25">
        <f>J7-J10</f>
        <v>644.20400000000018</v>
      </c>
    </row>
    <row r="15" spans="1:10" ht="16.5" customHeight="1" x14ac:dyDescent="0.45">
      <c r="B15" s="17" t="s">
        <v>185</v>
      </c>
      <c r="C15" s="9">
        <f>SUM(C16:C18)</f>
        <v>165</v>
      </c>
      <c r="D15" s="9">
        <f>SUM(D16:D18)</f>
        <v>182</v>
      </c>
      <c r="E15" s="9">
        <f>SUM(E16:E18)</f>
        <v>200</v>
      </c>
      <c r="F15" s="22">
        <f>E15*(1+Assumptions!D10+Assumptions!$F$40)</f>
        <v>210</v>
      </c>
      <c r="G15" s="22">
        <f>F15*(1+Assumptions!E10+Assumptions!$F$40)</f>
        <v>220.5</v>
      </c>
      <c r="H15" s="22">
        <f>G15*(1+Assumptions!F10+Assumptions!$F$40)</f>
        <v>231.52500000000001</v>
      </c>
      <c r="I15" s="22">
        <f>H15*(1+Assumptions!G10+Assumptions!$F$40)</f>
        <v>243.10125000000002</v>
      </c>
      <c r="J15" s="22">
        <f>I15*(1+Assumptions!H10+Assumptions!$F$40)</f>
        <v>255.25631250000004</v>
      </c>
    </row>
    <row r="16" spans="1:10" ht="16.5" customHeight="1" x14ac:dyDescent="0.45">
      <c r="B16" s="23" t="s">
        <v>190</v>
      </c>
      <c r="C16" s="7">
        <v>74</v>
      </c>
      <c r="D16" s="7">
        <v>82</v>
      </c>
      <c r="E16" s="7">
        <v>90</v>
      </c>
      <c r="F16" s="11">
        <f>F15*AVERAGE($C$16/$C$15,$D$16/$D$15,$E$16/$E$15)</f>
        <v>94.432400932400924</v>
      </c>
      <c r="G16" s="11">
        <f>G15*AVERAGE($C$16/$C$15,$D$16/$D$15,$E$16/$E$15)</f>
        <v>99.15402097902097</v>
      </c>
      <c r="H16" s="11">
        <f>H15*AVERAGE($C$16/$C$15,$D$16/$D$15,$E$16/$E$15)</f>
        <v>104.11172202797202</v>
      </c>
      <c r="I16" s="11">
        <f>I15*AVERAGE($C$16/$C$15,$D$16/$D$15,$E$16/$E$15)</f>
        <v>109.31730812937063</v>
      </c>
      <c r="J16" s="11">
        <f>J15*AVERAGE($C$16/$C$15,$D$16/$D$15,$E$16/$E$15)</f>
        <v>114.78317353583917</v>
      </c>
    </row>
    <row r="17" spans="2:10" ht="16.5" customHeight="1" x14ac:dyDescent="0.45">
      <c r="B17" s="23" t="s">
        <v>189</v>
      </c>
      <c r="C17" s="7">
        <v>41</v>
      </c>
      <c r="D17" s="7">
        <v>46</v>
      </c>
      <c r="E17" s="7">
        <v>50</v>
      </c>
      <c r="F17" s="11">
        <f>F15*AVERAGE($C$17/$C$15,$D$17/$D$15,$E$17/$E$15)</f>
        <v>52.586247086247084</v>
      </c>
      <c r="G17" s="11">
        <f>G15*AVERAGE($C$17/$C$15,$D$17/$D$15,$E$17/$E$15)</f>
        <v>55.215559440559439</v>
      </c>
      <c r="H17" s="11">
        <f>H15*AVERAGE($C$17/$C$15,$D$17/$D$15,$E$17/$E$15)</f>
        <v>57.976337412587412</v>
      </c>
      <c r="I17" s="11">
        <f>I15*AVERAGE($C$17/$C$15,$D$17/$D$15,$E$17/$E$15)</f>
        <v>60.875154283216787</v>
      </c>
      <c r="J17" s="11">
        <f>J15*AVERAGE($C$17/$C$15,$D$17/$D$15,$E$17/$E$15)</f>
        <v>63.918911997377627</v>
      </c>
    </row>
    <row r="18" spans="2:10" ht="16.5" customHeight="1" x14ac:dyDescent="0.45">
      <c r="B18" s="23" t="s">
        <v>188</v>
      </c>
      <c r="C18" s="7">
        <v>50</v>
      </c>
      <c r="D18" s="7">
        <v>54</v>
      </c>
      <c r="E18" s="7">
        <v>60</v>
      </c>
      <c r="F18" s="11">
        <f>F15-SUM(F16:F17)</f>
        <v>62.981351981351992</v>
      </c>
      <c r="G18" s="11">
        <f t="shared" ref="G18:J18" si="1">G15-SUM(G16:G17)</f>
        <v>66.130419580419584</v>
      </c>
      <c r="H18" s="11">
        <f t="shared" si="1"/>
        <v>69.436940559440558</v>
      </c>
      <c r="I18" s="11">
        <f t="shared" si="1"/>
        <v>72.908787587412604</v>
      </c>
      <c r="J18" s="11">
        <f t="shared" si="1"/>
        <v>76.554226966783233</v>
      </c>
    </row>
    <row r="19" spans="2:10" ht="16.5" customHeight="1" x14ac:dyDescent="0.45">
      <c r="B19" s="24" t="s">
        <v>33</v>
      </c>
      <c r="C19" s="25">
        <f t="shared" ref="C19:D19" si="2">C14-C15</f>
        <v>155</v>
      </c>
      <c r="D19" s="25">
        <f t="shared" si="2"/>
        <v>176</v>
      </c>
      <c r="E19" s="25">
        <f t="shared" ref="E19:J19" si="3">E14-E15</f>
        <v>200</v>
      </c>
      <c r="F19" s="25">
        <f t="shared" si="3"/>
        <v>230</v>
      </c>
      <c r="G19" s="25">
        <f t="shared" si="3"/>
        <v>263.5</v>
      </c>
      <c r="H19" s="25">
        <f t="shared" si="3"/>
        <v>300.875</v>
      </c>
      <c r="I19" s="25">
        <f t="shared" si="3"/>
        <v>342.53875000000005</v>
      </c>
      <c r="J19" s="25">
        <f t="shared" si="3"/>
        <v>388.94768750000014</v>
      </c>
    </row>
    <row r="20" spans="2:10" ht="16.5" customHeight="1" x14ac:dyDescent="0.45">
      <c r="B20" s="17" t="s">
        <v>34</v>
      </c>
      <c r="C20" s="3">
        <v>44</v>
      </c>
      <c r="D20" s="3">
        <v>47</v>
      </c>
      <c r="E20" s="3">
        <v>50</v>
      </c>
      <c r="F20" s="22">
        <f>Schedules!F15</f>
        <v>56.6</v>
      </c>
      <c r="G20" s="22">
        <f>Schedules!G15</f>
        <v>63.86</v>
      </c>
      <c r="H20" s="22">
        <f>Schedules!H15</f>
        <v>71.846000000000004</v>
      </c>
      <c r="I20" s="22">
        <f>Schedules!I15</f>
        <v>80.630600000000001</v>
      </c>
      <c r="J20" s="22">
        <f>Schedules!J15</f>
        <v>90.293660000000003</v>
      </c>
    </row>
    <row r="21" spans="2:10" ht="16.5" customHeight="1" x14ac:dyDescent="0.45">
      <c r="B21" s="24" t="s">
        <v>35</v>
      </c>
      <c r="C21" s="25">
        <f t="shared" ref="C21:D21" si="4">C19-C20</f>
        <v>111</v>
      </c>
      <c r="D21" s="25">
        <f t="shared" si="4"/>
        <v>129</v>
      </c>
      <c r="E21" s="25">
        <f t="shared" ref="E21:J21" si="5">E19-E20</f>
        <v>150</v>
      </c>
      <c r="F21" s="25">
        <f t="shared" si="5"/>
        <v>173.4</v>
      </c>
      <c r="G21" s="25">
        <f t="shared" si="5"/>
        <v>199.64</v>
      </c>
      <c r="H21" s="25">
        <f t="shared" si="5"/>
        <v>229.029</v>
      </c>
      <c r="I21" s="25">
        <f t="shared" si="5"/>
        <v>261.90815000000003</v>
      </c>
      <c r="J21" s="25">
        <f t="shared" si="5"/>
        <v>298.65402750000015</v>
      </c>
    </row>
    <row r="22" spans="2:10" ht="16.5" customHeight="1" x14ac:dyDescent="0.45">
      <c r="B22" s="17" t="s">
        <v>36</v>
      </c>
      <c r="C22" s="3">
        <v>21</v>
      </c>
      <c r="D22" s="3">
        <v>20.5</v>
      </c>
      <c r="E22" s="3">
        <v>20</v>
      </c>
      <c r="F22" s="22">
        <f>Schedules!F23</f>
        <v>20</v>
      </c>
      <c r="G22" s="22">
        <f>Schedules!G23</f>
        <v>19</v>
      </c>
      <c r="H22" s="22">
        <f>Schedules!H23</f>
        <v>18</v>
      </c>
      <c r="I22" s="22">
        <f>Schedules!I23</f>
        <v>17</v>
      </c>
      <c r="J22" s="22">
        <f>Schedules!J23</f>
        <v>16</v>
      </c>
    </row>
    <row r="23" spans="2:10" ht="16.5" customHeight="1" x14ac:dyDescent="0.45">
      <c r="B23" s="17" t="s">
        <v>37</v>
      </c>
      <c r="C23" s="3">
        <v>1.7</v>
      </c>
      <c r="D23" s="3">
        <v>1.8</v>
      </c>
      <c r="E23" s="3">
        <v>2</v>
      </c>
      <c r="F23" s="22">
        <f>Assumptions!D28*'Balance Sheet'!E9</f>
        <v>2</v>
      </c>
      <c r="G23" s="22">
        <f>Assumptions!E28*'Balance Sheet'!F9</f>
        <v>2.8597728059831473</v>
      </c>
      <c r="H23" s="22">
        <f>Assumptions!F28*'Balance Sheet'!G9</f>
        <v>4.0273851738156372</v>
      </c>
      <c r="I23" s="22">
        <f>Assumptions!G28*'Balance Sheet'!H9</f>
        <v>5.5298241624961841</v>
      </c>
      <c r="J23" s="22">
        <f>Assumptions!H28*'Balance Sheet'!I9</f>
        <v>7.4079750622573535</v>
      </c>
    </row>
    <row r="24" spans="2:10" ht="16.5" customHeight="1" x14ac:dyDescent="0.45">
      <c r="B24" s="24" t="s">
        <v>38</v>
      </c>
      <c r="C24" s="25">
        <f t="shared" ref="C24:D24" si="6">C21-C22+C23</f>
        <v>91.7</v>
      </c>
      <c r="D24" s="25">
        <f t="shared" si="6"/>
        <v>110.3</v>
      </c>
      <c r="E24" s="25">
        <f t="shared" ref="E24:J24" si="7">E21-E22+E23</f>
        <v>132</v>
      </c>
      <c r="F24" s="25">
        <f t="shared" si="7"/>
        <v>155.4</v>
      </c>
      <c r="G24" s="25">
        <f t="shared" si="7"/>
        <v>183.49977280598313</v>
      </c>
      <c r="H24" s="25">
        <f t="shared" si="7"/>
        <v>215.05638517381564</v>
      </c>
      <c r="I24" s="25">
        <f t="shared" si="7"/>
        <v>250.43797416249623</v>
      </c>
      <c r="J24" s="25">
        <f t="shared" si="7"/>
        <v>290.06200256225753</v>
      </c>
    </row>
    <row r="25" spans="2:10" ht="16.5" customHeight="1" x14ac:dyDescent="0.45">
      <c r="B25" s="17" t="s">
        <v>39</v>
      </c>
      <c r="C25" s="3">
        <v>19.3</v>
      </c>
      <c r="D25" s="3">
        <v>23.2</v>
      </c>
      <c r="E25" s="3">
        <v>27.7</v>
      </c>
      <c r="F25" s="22">
        <f>F24*Assumptions!D12</f>
        <v>32.634</v>
      </c>
      <c r="G25" s="22">
        <f>G24*Assumptions!E12</f>
        <v>38.534952289256452</v>
      </c>
      <c r="H25" s="22">
        <f>H24*Assumptions!F12</f>
        <v>45.161840886501281</v>
      </c>
      <c r="I25" s="22">
        <f>I24*Assumptions!G12</f>
        <v>52.591974574124208</v>
      </c>
      <c r="J25" s="22">
        <f>J24*Assumptions!H12</f>
        <v>60.913020538074079</v>
      </c>
    </row>
    <row r="26" spans="2:10" ht="16.5" customHeight="1" x14ac:dyDescent="0.45">
      <c r="B26" s="24" t="s">
        <v>40</v>
      </c>
      <c r="C26" s="26">
        <f t="shared" ref="C26:D26" si="8">C24-C25</f>
        <v>72.400000000000006</v>
      </c>
      <c r="D26" s="26">
        <f t="shared" si="8"/>
        <v>87.1</v>
      </c>
      <c r="E26" s="26">
        <f t="shared" ref="E26:J26" si="9">E24-E25</f>
        <v>104.3</v>
      </c>
      <c r="F26" s="26">
        <f t="shared" si="9"/>
        <v>122.76600000000001</v>
      </c>
      <c r="G26" s="26">
        <f t="shared" si="9"/>
        <v>144.96482051672666</v>
      </c>
      <c r="H26" s="26">
        <f t="shared" si="9"/>
        <v>169.89454428731437</v>
      </c>
      <c r="I26" s="26">
        <f t="shared" si="9"/>
        <v>197.84599958837202</v>
      </c>
      <c r="J26" s="26">
        <f t="shared" si="9"/>
        <v>229.14898202418345</v>
      </c>
    </row>
    <row r="27" spans="2:10" ht="16.5" customHeight="1" x14ac:dyDescent="0.45">
      <c r="B27" s="17" t="s">
        <v>41</v>
      </c>
      <c r="F27" s="22">
        <f>F26*Assumptions!D13</f>
        <v>36.829799999999999</v>
      </c>
      <c r="G27" s="22">
        <f>G26*Assumptions!E13</f>
        <v>43.489446155017994</v>
      </c>
      <c r="H27" s="22">
        <f>H26*Assumptions!F13</f>
        <v>50.968363286194311</v>
      </c>
      <c r="I27" s="22">
        <f>I26*Assumptions!G13</f>
        <v>59.353799876511601</v>
      </c>
      <c r="J27" s="22">
        <f>J26*Assumptions!H13</f>
        <v>68.744694607255028</v>
      </c>
    </row>
    <row r="28" spans="2:10" ht="16.5" customHeight="1" x14ac:dyDescent="0.45">
      <c r="B28" s="17" t="s">
        <v>42</v>
      </c>
      <c r="F28" s="27">
        <f>F26-F27</f>
        <v>85.936200000000014</v>
      </c>
      <c r="G28" s="27">
        <f>G26-G27</f>
        <v>101.47537436170867</v>
      </c>
      <c r="H28" s="27">
        <f>H26-H27</f>
        <v>118.92618100112006</v>
      </c>
      <c r="I28" s="27">
        <f>I26-I27</f>
        <v>138.49219971186042</v>
      </c>
      <c r="J28" s="27">
        <f>J26-J27</f>
        <v>160.40428741692841</v>
      </c>
    </row>
    <row r="29" spans="2:10" ht="16.5" customHeight="1" x14ac:dyDescent="0.45"/>
    <row r="30" spans="2:10" ht="16.5" customHeight="1" x14ac:dyDescent="0.45">
      <c r="B30" s="28" t="s">
        <v>43</v>
      </c>
      <c r="C30" s="29">
        <f>C14/C7</f>
        <v>0.39506172839506171</v>
      </c>
      <c r="D30" s="29">
        <f>D14/D7</f>
        <v>0.39777777777777779</v>
      </c>
      <c r="E30" s="29">
        <f>E14/E7</f>
        <v>0.4</v>
      </c>
      <c r="F30" s="29">
        <f>F14/F7</f>
        <v>0.4</v>
      </c>
      <c r="G30" s="29">
        <f>G14/G7</f>
        <v>0.4</v>
      </c>
      <c r="H30" s="29">
        <f>H14/H7</f>
        <v>0.39999999999999997</v>
      </c>
      <c r="I30" s="29">
        <f>I14/I7</f>
        <v>0.4</v>
      </c>
      <c r="J30" s="29">
        <f>J14/J7</f>
        <v>0.40000000000000008</v>
      </c>
    </row>
    <row r="31" spans="2:10" ht="16.5" customHeight="1" x14ac:dyDescent="0.45">
      <c r="B31" s="28" t="s">
        <v>44</v>
      </c>
      <c r="C31" s="29">
        <f>C19/C7</f>
        <v>0.19135802469135801</v>
      </c>
      <c r="D31" s="29">
        <f>D19/D7</f>
        <v>0.19555555555555557</v>
      </c>
      <c r="E31" s="29">
        <f>E19/E7</f>
        <v>0.2</v>
      </c>
      <c r="F31" s="29">
        <f>F19/F7</f>
        <v>0.20909090909090908</v>
      </c>
      <c r="G31" s="29">
        <f>G19/G7</f>
        <v>0.21776859504132232</v>
      </c>
      <c r="H31" s="29">
        <f>H19/H7</f>
        <v>0.22605184072126222</v>
      </c>
      <c r="I31" s="29">
        <f>I19/I7</f>
        <v>0.23395857523393213</v>
      </c>
      <c r="J31" s="29">
        <f>J19/J7</f>
        <v>0.24150591272329888</v>
      </c>
    </row>
    <row r="32" spans="2:10" ht="16.5" customHeight="1" x14ac:dyDescent="0.45">
      <c r="B32" s="28" t="s">
        <v>45</v>
      </c>
      <c r="C32" s="29">
        <f>C26/C7</f>
        <v>8.9382716049382721E-2</v>
      </c>
      <c r="D32" s="29">
        <f>D26/D7</f>
        <v>9.6777777777777768E-2</v>
      </c>
      <c r="E32" s="29">
        <f>E26/E7</f>
        <v>0.1043</v>
      </c>
      <c r="F32" s="29">
        <f>F26/F7</f>
        <v>0.11160545454545455</v>
      </c>
      <c r="G32" s="29">
        <f>G26/G7</f>
        <v>0.11980563679068319</v>
      </c>
      <c r="H32" s="29">
        <f>H26/H7</f>
        <v>0.12764428571548789</v>
      </c>
      <c r="I32" s="29">
        <f>I26/I7</f>
        <v>0.13513147980901033</v>
      </c>
      <c r="J32" s="29">
        <f>J26/J7</f>
        <v>0.14228348909611455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3:J3"/>
  </mergeCells>
  <pageMargins left="0.75" right="0.75" top="1" bottom="1" header="0.511811023622047" footer="0.511811023622047"/>
  <pageSetup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1"/>
  <sheetViews>
    <sheetView showGridLines="0" tabSelected="1" zoomScaleNormal="100" workbookViewId="0">
      <pane ySplit="4" topLeftCell="A5" activePane="bottomLeft" state="frozen"/>
      <selection pane="bottomLeft" activeCell="F10" sqref="F10"/>
    </sheetView>
  </sheetViews>
  <sheetFormatPr defaultColWidth="8.6640625" defaultRowHeight="14.25" x14ac:dyDescent="0.45"/>
  <cols>
    <col min="1" max="1" width="3.1328125" style="12" customWidth="1"/>
    <col min="2" max="2" width="27.06640625" style="12" bestFit="1" customWidth="1"/>
    <col min="3" max="10" width="11.59765625" style="12" customWidth="1"/>
    <col min="11" max="11" width="2.265625" style="12" customWidth="1"/>
    <col min="12" max="16384" width="8.6640625" style="12"/>
  </cols>
  <sheetData>
    <row r="1" spans="1:10" customFormat="1" ht="28.05" customHeight="1" x14ac:dyDescent="0.45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customFormat="1" ht="16.05" customHeight="1" x14ac:dyDescent="0.45">
      <c r="A2" s="49" t="s">
        <v>198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3" customHeight="1" x14ac:dyDescent="0.45">
      <c r="A3" s="50"/>
      <c r="B3" s="50"/>
      <c r="C3" s="50"/>
      <c r="D3" s="50"/>
      <c r="E3" s="50"/>
      <c r="F3" s="50"/>
      <c r="G3" s="50"/>
      <c r="H3" s="50"/>
      <c r="I3" s="50"/>
      <c r="J3" s="50"/>
    </row>
    <row r="6" spans="1:10" ht="16.5" customHeight="1" x14ac:dyDescent="0.45">
      <c r="B6" s="21" t="s">
        <v>47</v>
      </c>
      <c r="C6" s="21" t="s">
        <v>181</v>
      </c>
      <c r="D6" s="21" t="s">
        <v>182</v>
      </c>
      <c r="E6" s="16" t="s">
        <v>183</v>
      </c>
      <c r="F6" s="16" t="s">
        <v>2</v>
      </c>
      <c r="G6" s="16" t="s">
        <v>3</v>
      </c>
      <c r="H6" s="16" t="s">
        <v>4</v>
      </c>
      <c r="I6" s="16" t="s">
        <v>5</v>
      </c>
      <c r="J6" s="16" t="s">
        <v>6</v>
      </c>
    </row>
    <row r="7" spans="1:10" ht="16.5" customHeight="1" x14ac:dyDescent="0.45"/>
    <row r="8" spans="1:10" ht="16.5" customHeight="1" x14ac:dyDescent="0.45">
      <c r="B8" s="21" t="s">
        <v>48</v>
      </c>
      <c r="C8" s="21"/>
      <c r="D8" s="21"/>
    </row>
    <row r="9" spans="1:10" ht="16.5" customHeight="1" x14ac:dyDescent="0.45">
      <c r="B9" s="17" t="s">
        <v>49</v>
      </c>
      <c r="C9" s="3">
        <v>85</v>
      </c>
      <c r="D9" s="3">
        <v>91</v>
      </c>
      <c r="E9" s="3">
        <v>100</v>
      </c>
      <c r="F9" s="22">
        <f>'Cash Flow'!F30</f>
        <v>142.98864029915737</v>
      </c>
      <c r="G9" s="22">
        <f>'Cash Flow'!G30</f>
        <v>201.36925869078186</v>
      </c>
      <c r="H9" s="22">
        <f>'Cash Flow'!H30</f>
        <v>276.49120812480919</v>
      </c>
      <c r="I9" s="22">
        <f>'Cash Flow'!I30</f>
        <v>370.39875311286767</v>
      </c>
      <c r="J9" s="22">
        <f>'Cash Flow'!J30</f>
        <v>485.35992033361396</v>
      </c>
    </row>
    <row r="10" spans="1:10" ht="16.5" customHeight="1" x14ac:dyDescent="0.45">
      <c r="B10" s="17" t="s">
        <v>50</v>
      </c>
      <c r="C10" s="3">
        <v>97</v>
      </c>
      <c r="D10" s="3">
        <v>110</v>
      </c>
      <c r="E10" s="3">
        <v>120</v>
      </c>
      <c r="F10" s="22">
        <f>'Income Statement'!F7*(Assumptions!D20+Assumptions!$F$42)/365</f>
        <v>132.72427983539094</v>
      </c>
      <c r="G10" s="22">
        <f>'Income Statement'!G7*(Assumptions!E20+Assumptions!$F$42)/365</f>
        <v>145.99670781893002</v>
      </c>
      <c r="H10" s="22">
        <f>'Income Statement'!H7*(Assumptions!F20+Assumptions!$F$42)/365</f>
        <v>160.59637860082302</v>
      </c>
      <c r="I10" s="22">
        <f>'Income Statement'!I7*(Assumptions!G20+Assumptions!$F$42)/365</f>
        <v>176.65601646090533</v>
      </c>
      <c r="J10" s="22">
        <f>'Income Statement'!J7*(Assumptions!H20+Assumptions!$F$42)/365</f>
        <v>194.32161810699589</v>
      </c>
    </row>
    <row r="11" spans="1:10" ht="16.5" customHeight="1" x14ac:dyDescent="0.45">
      <c r="B11" s="17" t="s">
        <v>51</v>
      </c>
      <c r="C11" s="3">
        <v>73</v>
      </c>
      <c r="D11" s="3">
        <v>82</v>
      </c>
      <c r="E11" s="3">
        <v>90</v>
      </c>
      <c r="F11" s="22">
        <f>'Income Statement'!F10*(Assumptions!D21+Assumptions!$F$42)/365</f>
        <v>99.059643045410056</v>
      </c>
      <c r="G11" s="22">
        <f>'Income Statement'!G10*(Assumptions!E21+Assumptions!$F$42)/365</f>
        <v>108.96560734995104</v>
      </c>
      <c r="H11" s="22">
        <f>'Income Statement'!H10*(Assumptions!F21+Assumptions!$F$42)/365</f>
        <v>119.86216808494616</v>
      </c>
      <c r="I11" s="22">
        <f>'Income Statement'!I10*(Assumptions!G21+Assumptions!$F$42)/365</f>
        <v>131.84838489344077</v>
      </c>
      <c r="J11" s="22">
        <f>'Income Statement'!J10*(Assumptions!H21+Assumptions!$F$42)/365</f>
        <v>145.03322338278485</v>
      </c>
    </row>
    <row r="12" spans="1:10" ht="16.5" customHeight="1" x14ac:dyDescent="0.45">
      <c r="B12" s="17" t="s">
        <v>52</v>
      </c>
      <c r="C12" s="3">
        <v>24</v>
      </c>
      <c r="D12" s="3">
        <v>27</v>
      </c>
      <c r="E12" s="3">
        <v>30</v>
      </c>
      <c r="F12" s="22">
        <f>'Income Statement'!F7*Assumptions!D23</f>
        <v>33</v>
      </c>
      <c r="G12" s="22">
        <f>'Income Statement'!G7*Assumptions!E23</f>
        <v>36.299999999999997</v>
      </c>
      <c r="H12" s="22">
        <f>'Income Statement'!H7*Assumptions!F23</f>
        <v>39.93</v>
      </c>
      <c r="I12" s="22">
        <f>'Income Statement'!I7*Assumptions!G23</f>
        <v>43.923000000000002</v>
      </c>
      <c r="J12" s="22">
        <f>'Income Statement'!J7*Assumptions!H23</f>
        <v>48.315300000000008</v>
      </c>
    </row>
    <row r="13" spans="1:10" ht="16.5" customHeight="1" x14ac:dyDescent="0.45">
      <c r="B13" s="24" t="s">
        <v>53</v>
      </c>
      <c r="C13" s="25">
        <f t="shared" ref="C13:D13" si="0">SUM(C9:C12)</f>
        <v>279</v>
      </c>
      <c r="D13" s="25">
        <f t="shared" si="0"/>
        <v>310</v>
      </c>
      <c r="E13" s="25">
        <f t="shared" ref="E13:J13" si="1">SUM(E9:E12)</f>
        <v>340</v>
      </c>
      <c r="F13" s="25">
        <f t="shared" si="1"/>
        <v>407.77256317995835</v>
      </c>
      <c r="G13" s="25">
        <f t="shared" si="1"/>
        <v>492.63157385966292</v>
      </c>
      <c r="H13" s="25">
        <f t="shared" si="1"/>
        <v>596.87975481057833</v>
      </c>
      <c r="I13" s="25">
        <f t="shared" si="1"/>
        <v>722.82615446721377</v>
      </c>
      <c r="J13" s="25">
        <f t="shared" si="1"/>
        <v>873.0300618233947</v>
      </c>
    </row>
    <row r="14" spans="1:10" ht="16.5" customHeight="1" x14ac:dyDescent="0.45">
      <c r="B14" s="17" t="s">
        <v>54</v>
      </c>
      <c r="C14" s="3">
        <v>450</v>
      </c>
      <c r="D14" s="3">
        <v>470</v>
      </c>
      <c r="E14" s="3">
        <v>500</v>
      </c>
      <c r="F14" s="22">
        <f>Schedules!F16</f>
        <v>509.4</v>
      </c>
      <c r="G14" s="22">
        <f>Schedules!G16</f>
        <v>518.14</v>
      </c>
      <c r="H14" s="22">
        <f>Schedules!H16</f>
        <v>526.154</v>
      </c>
      <c r="I14" s="22">
        <f>Schedules!I16</f>
        <v>533.36940000000004</v>
      </c>
      <c r="J14" s="22">
        <f>Schedules!J16</f>
        <v>539.70633999999995</v>
      </c>
    </row>
    <row r="15" spans="1:10" ht="16.5" customHeight="1" x14ac:dyDescent="0.45">
      <c r="B15" s="17" t="s">
        <v>55</v>
      </c>
      <c r="C15" s="3">
        <v>60</v>
      </c>
      <c r="D15" s="3">
        <v>60</v>
      </c>
      <c r="E15" s="3">
        <v>60</v>
      </c>
      <c r="F15" s="22">
        <f>E15</f>
        <v>60</v>
      </c>
      <c r="G15" s="22">
        <f>F15</f>
        <v>60</v>
      </c>
      <c r="H15" s="22">
        <f>G15</f>
        <v>60</v>
      </c>
      <c r="I15" s="22">
        <f>H15</f>
        <v>60</v>
      </c>
      <c r="J15" s="22">
        <f>I15</f>
        <v>60</v>
      </c>
    </row>
    <row r="16" spans="1:10" ht="16.5" customHeight="1" x14ac:dyDescent="0.45">
      <c r="B16" s="24" t="s">
        <v>56</v>
      </c>
      <c r="C16" s="26">
        <f t="shared" ref="C16:D16" si="2">C13+C14+C15</f>
        <v>789</v>
      </c>
      <c r="D16" s="26">
        <f t="shared" si="2"/>
        <v>840</v>
      </c>
      <c r="E16" s="26">
        <f t="shared" ref="E16:J16" si="3">E13+E14+E15</f>
        <v>900</v>
      </c>
      <c r="F16" s="26">
        <f t="shared" si="3"/>
        <v>977.17256317995839</v>
      </c>
      <c r="G16" s="26">
        <f t="shared" si="3"/>
        <v>1070.771573859663</v>
      </c>
      <c r="H16" s="26">
        <f t="shared" si="3"/>
        <v>1183.0337548105783</v>
      </c>
      <c r="I16" s="26">
        <f t="shared" si="3"/>
        <v>1316.1955544672137</v>
      </c>
      <c r="J16" s="26">
        <f t="shared" si="3"/>
        <v>1472.7364018233948</v>
      </c>
    </row>
    <row r="17" spans="2:10" ht="16.5" customHeight="1" x14ac:dyDescent="0.45"/>
    <row r="18" spans="2:10" ht="16.5" customHeight="1" x14ac:dyDescent="0.45">
      <c r="B18" s="21" t="s">
        <v>57</v>
      </c>
    </row>
    <row r="19" spans="2:10" ht="16.5" customHeight="1" x14ac:dyDescent="0.45">
      <c r="B19" s="17" t="s">
        <v>58</v>
      </c>
      <c r="C19" s="3">
        <v>57</v>
      </c>
      <c r="D19" s="3">
        <v>64</v>
      </c>
      <c r="E19" s="3">
        <v>70</v>
      </c>
      <c r="F19" s="22">
        <f>'Income Statement'!F10*Assumptions!D22/365</f>
        <v>77.236363179958332</v>
      </c>
      <c r="G19" s="22">
        <f>'Income Statement'!G10*Assumptions!E22/365</f>
        <v>84.959999497954172</v>
      </c>
      <c r="H19" s="22">
        <f>'Income Statement'!H10*Assumptions!F22/365</f>
        <v>93.455999447749576</v>
      </c>
      <c r="I19" s="22">
        <f>'Income Statement'!I10*Assumptions!G22/365</f>
        <v>102.80159939252455</v>
      </c>
      <c r="J19" s="22">
        <f>'Income Statement'!J10*Assumptions!H22/365</f>
        <v>113.08175933177701</v>
      </c>
    </row>
    <row r="20" spans="2:10" ht="16.5" customHeight="1" x14ac:dyDescent="0.45">
      <c r="B20" s="17" t="s">
        <v>59</v>
      </c>
      <c r="C20" s="3">
        <v>32</v>
      </c>
      <c r="D20" s="3">
        <v>36</v>
      </c>
      <c r="E20" s="3">
        <v>40</v>
      </c>
      <c r="F20" s="22">
        <f>'Income Statement'!F7*Assumptions!D24</f>
        <v>44</v>
      </c>
      <c r="G20" s="22">
        <f>'Income Statement'!G7*Assumptions!E24</f>
        <v>48.4</v>
      </c>
      <c r="H20" s="22">
        <f>'Income Statement'!H7*Assumptions!F24</f>
        <v>53.24</v>
      </c>
      <c r="I20" s="22">
        <f>'Income Statement'!I7*Assumptions!G24</f>
        <v>58.564000000000007</v>
      </c>
      <c r="J20" s="22">
        <f>'Income Statement'!J7*Assumptions!H24</f>
        <v>64.420400000000015</v>
      </c>
    </row>
    <row r="21" spans="2:10" ht="16.5" customHeight="1" x14ac:dyDescent="0.45">
      <c r="B21" s="24" t="s">
        <v>60</v>
      </c>
      <c r="C21" s="25">
        <f t="shared" ref="C21:D21" si="4">C19+C20</f>
        <v>89</v>
      </c>
      <c r="D21" s="25">
        <f t="shared" si="4"/>
        <v>100</v>
      </c>
      <c r="E21" s="25">
        <f t="shared" ref="E21:J21" si="5">E19+E20</f>
        <v>110</v>
      </c>
      <c r="F21" s="25">
        <f t="shared" si="5"/>
        <v>121.23636317995833</v>
      </c>
      <c r="G21" s="25">
        <f t="shared" si="5"/>
        <v>133.35999949795416</v>
      </c>
      <c r="H21" s="25">
        <f t="shared" si="5"/>
        <v>146.69599944774959</v>
      </c>
      <c r="I21" s="25">
        <f t="shared" si="5"/>
        <v>161.36559939252456</v>
      </c>
      <c r="J21" s="25">
        <f t="shared" si="5"/>
        <v>177.50215933177702</v>
      </c>
    </row>
    <row r="22" spans="2:10" ht="16.5" customHeight="1" x14ac:dyDescent="0.45">
      <c r="B22" s="17" t="s">
        <v>61</v>
      </c>
      <c r="C22" s="3">
        <v>420</v>
      </c>
      <c r="D22" s="3">
        <v>410</v>
      </c>
      <c r="E22" s="3">
        <v>400</v>
      </c>
      <c r="F22" s="22">
        <f>Schedules!F22</f>
        <v>380</v>
      </c>
      <c r="G22" s="22">
        <f>Schedules!G22</f>
        <v>360</v>
      </c>
      <c r="H22" s="22">
        <f>Schedules!H22</f>
        <v>340</v>
      </c>
      <c r="I22" s="22">
        <f>Schedules!I22</f>
        <v>320</v>
      </c>
      <c r="J22" s="22">
        <f>Schedules!J22</f>
        <v>300</v>
      </c>
    </row>
    <row r="23" spans="2:10" ht="16.5" customHeight="1" x14ac:dyDescent="0.45">
      <c r="B23" s="24" t="s">
        <v>62</v>
      </c>
      <c r="C23" s="26">
        <f t="shared" ref="C23:D23" si="6">C21+C22</f>
        <v>509</v>
      </c>
      <c r="D23" s="26">
        <f t="shared" si="6"/>
        <v>510</v>
      </c>
      <c r="E23" s="26">
        <f t="shared" ref="E23:J23" si="7">E21+E22</f>
        <v>510</v>
      </c>
      <c r="F23" s="26">
        <f t="shared" si="7"/>
        <v>501.23636317995835</v>
      </c>
      <c r="G23" s="26">
        <f t="shared" si="7"/>
        <v>493.35999949795416</v>
      </c>
      <c r="H23" s="26">
        <f t="shared" si="7"/>
        <v>486.69599944774961</v>
      </c>
      <c r="I23" s="26">
        <f t="shared" si="7"/>
        <v>481.36559939252459</v>
      </c>
      <c r="J23" s="26">
        <f t="shared" si="7"/>
        <v>477.50215933177702</v>
      </c>
    </row>
    <row r="24" spans="2:10" ht="16.5" customHeight="1" x14ac:dyDescent="0.45"/>
    <row r="25" spans="2:10" ht="16.5" customHeight="1" x14ac:dyDescent="0.45">
      <c r="B25" s="21" t="s">
        <v>63</v>
      </c>
    </row>
    <row r="26" spans="2:10" ht="16.5" customHeight="1" x14ac:dyDescent="0.45">
      <c r="B26" s="17" t="s">
        <v>64</v>
      </c>
      <c r="C26" s="3">
        <v>200</v>
      </c>
      <c r="D26" s="3">
        <v>200</v>
      </c>
      <c r="E26" s="3">
        <v>200</v>
      </c>
      <c r="F26" s="22">
        <f>E26+Assumptions!D31</f>
        <v>200</v>
      </c>
      <c r="G26" s="22">
        <f>F26+Assumptions!E31</f>
        <v>200</v>
      </c>
      <c r="H26" s="22">
        <f>G26+Assumptions!F31</f>
        <v>200</v>
      </c>
      <c r="I26" s="22">
        <f>H26+Assumptions!G31</f>
        <v>200</v>
      </c>
      <c r="J26" s="22">
        <f>I26+Assumptions!H31</f>
        <v>200</v>
      </c>
    </row>
    <row r="27" spans="2:10" ht="16.5" customHeight="1" x14ac:dyDescent="0.45">
      <c r="B27" s="17" t="s">
        <v>65</v>
      </c>
      <c r="C27" s="3">
        <v>80</v>
      </c>
      <c r="D27" s="3">
        <v>130</v>
      </c>
      <c r="E27" s="3">
        <v>190</v>
      </c>
      <c r="F27" s="22">
        <f>E27+'Income Statement'!F26-'Income Statement'!F27</f>
        <v>275.93620000000004</v>
      </c>
      <c r="G27" s="22">
        <f>F27+'Income Statement'!G26-'Income Statement'!G27</f>
        <v>377.41157436170869</v>
      </c>
      <c r="H27" s="22">
        <f>G27+'Income Statement'!H26-'Income Statement'!H27</f>
        <v>496.33775536282883</v>
      </c>
      <c r="I27" s="22">
        <f>H27+'Income Statement'!I26-'Income Statement'!I27</f>
        <v>634.82995507468922</v>
      </c>
      <c r="J27" s="22">
        <f>I27+'Income Statement'!J26-'Income Statement'!J27</f>
        <v>795.23424249161758</v>
      </c>
    </row>
    <row r="28" spans="2:10" ht="16.5" customHeight="1" x14ac:dyDescent="0.45">
      <c r="B28" s="24" t="s">
        <v>66</v>
      </c>
      <c r="C28" s="26">
        <f t="shared" ref="C28:D28" si="8">C26+C27</f>
        <v>280</v>
      </c>
      <c r="D28" s="26">
        <f t="shared" si="8"/>
        <v>330</v>
      </c>
      <c r="E28" s="26">
        <f t="shared" ref="E28:J28" si="9">E26+E27</f>
        <v>390</v>
      </c>
      <c r="F28" s="26">
        <f t="shared" si="9"/>
        <v>475.93620000000004</v>
      </c>
      <c r="G28" s="26">
        <f t="shared" si="9"/>
        <v>577.41157436170874</v>
      </c>
      <c r="H28" s="26">
        <f t="shared" si="9"/>
        <v>696.33775536282883</v>
      </c>
      <c r="I28" s="26">
        <f t="shared" si="9"/>
        <v>834.82995507468922</v>
      </c>
      <c r="J28" s="26">
        <f t="shared" si="9"/>
        <v>995.23424249161758</v>
      </c>
    </row>
    <row r="29" spans="2:10" ht="16.5" customHeight="1" x14ac:dyDescent="0.45">
      <c r="B29" s="24" t="s">
        <v>67</v>
      </c>
      <c r="C29" s="25">
        <f t="shared" ref="C29:D29" si="10">C23+C28</f>
        <v>789</v>
      </c>
      <c r="D29" s="25">
        <f t="shared" si="10"/>
        <v>840</v>
      </c>
      <c r="E29" s="25">
        <f t="shared" ref="E29:J29" si="11">E23+E28</f>
        <v>900</v>
      </c>
      <c r="F29" s="25">
        <f t="shared" si="11"/>
        <v>977.17256317995839</v>
      </c>
      <c r="G29" s="25">
        <f t="shared" si="11"/>
        <v>1070.771573859663</v>
      </c>
      <c r="H29" s="25">
        <f t="shared" si="11"/>
        <v>1183.0337548105786</v>
      </c>
      <c r="I29" s="25">
        <f t="shared" si="11"/>
        <v>1316.1955544672137</v>
      </c>
      <c r="J29" s="25">
        <f t="shared" si="11"/>
        <v>1472.7364018233945</v>
      </c>
    </row>
    <row r="30" spans="2:10" ht="16.5" customHeight="1" x14ac:dyDescent="0.45"/>
    <row r="31" spans="2:10" ht="16.5" customHeight="1" x14ac:dyDescent="0.45">
      <c r="B31" s="24" t="s">
        <v>68</v>
      </c>
      <c r="C31" s="30">
        <f t="shared" ref="C31:D31" si="12">C16-C29</f>
        <v>0</v>
      </c>
      <c r="D31" s="30">
        <f t="shared" si="12"/>
        <v>0</v>
      </c>
      <c r="E31" s="30">
        <f t="shared" ref="E31:J31" si="13">E16-E29</f>
        <v>0</v>
      </c>
      <c r="F31" s="30">
        <f t="shared" si="13"/>
        <v>0</v>
      </c>
      <c r="G31" s="30">
        <f t="shared" si="13"/>
        <v>0</v>
      </c>
      <c r="H31" s="30">
        <f t="shared" si="13"/>
        <v>0</v>
      </c>
      <c r="I31" s="30">
        <f t="shared" si="13"/>
        <v>0</v>
      </c>
      <c r="J31" s="30">
        <f t="shared" si="13"/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3:J3"/>
  </mergeCells>
  <pageMargins left="0.75" right="0.75" top="1" bottom="1" header="0.511811023622047" footer="0.511811023622047"/>
  <pageSetup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2"/>
  <sheetViews>
    <sheetView showGridLines="0" zoomScaleNormal="100" workbookViewId="0">
      <pane ySplit="4" topLeftCell="A21" activePane="bottomLeft" state="frozen"/>
      <selection pane="bottomLeft" activeCell="B38" sqref="B38"/>
    </sheetView>
  </sheetViews>
  <sheetFormatPr defaultColWidth="8.6640625" defaultRowHeight="14.25" x14ac:dyDescent="0.45"/>
  <cols>
    <col min="1" max="1" width="3.1328125" style="12" customWidth="1"/>
    <col min="2" max="2" width="32.6640625" style="12" bestFit="1" customWidth="1"/>
    <col min="3" max="10" width="11.59765625" style="12" customWidth="1"/>
    <col min="11" max="11" width="2.265625" style="12" customWidth="1"/>
    <col min="12" max="16384" width="8.6640625" style="12"/>
  </cols>
  <sheetData>
    <row r="1" spans="1:10" customFormat="1" ht="28.05" customHeight="1" x14ac:dyDescent="0.45">
      <c r="A1" s="48" t="s">
        <v>69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customFormat="1" ht="16.05" customHeight="1" x14ac:dyDescent="0.45">
      <c r="A2" s="49" t="s">
        <v>70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3" customHeight="1" x14ac:dyDescent="0.45">
      <c r="A3" s="50"/>
      <c r="B3" s="50"/>
      <c r="C3" s="50"/>
      <c r="D3" s="50"/>
      <c r="E3" s="50"/>
      <c r="F3" s="50"/>
      <c r="G3" s="50"/>
      <c r="H3" s="50"/>
      <c r="I3" s="50"/>
      <c r="J3" s="50"/>
    </row>
    <row r="6" spans="1:10" ht="16.5" customHeight="1" x14ac:dyDescent="0.45">
      <c r="B6" s="21" t="s">
        <v>71</v>
      </c>
      <c r="C6" s="21" t="s">
        <v>181</v>
      </c>
      <c r="D6" s="21" t="s">
        <v>182</v>
      </c>
      <c r="E6" s="12" t="s">
        <v>183</v>
      </c>
      <c r="F6" s="16" t="s">
        <v>2</v>
      </c>
      <c r="G6" s="16" t="s">
        <v>3</v>
      </c>
      <c r="H6" s="16" t="s">
        <v>4</v>
      </c>
      <c r="I6" s="16" t="s">
        <v>5</v>
      </c>
      <c r="J6" s="16" t="s">
        <v>6</v>
      </c>
    </row>
    <row r="7" spans="1:10" ht="16.5" customHeight="1" x14ac:dyDescent="0.45"/>
    <row r="8" spans="1:10" ht="16.5" customHeight="1" x14ac:dyDescent="0.45">
      <c r="B8" s="21" t="s">
        <v>72</v>
      </c>
      <c r="C8" s="21"/>
    </row>
    <row r="9" spans="1:10" ht="16.5" customHeight="1" x14ac:dyDescent="0.45">
      <c r="B9" s="17" t="s">
        <v>40</v>
      </c>
      <c r="C9" s="17"/>
      <c r="D9" s="22">
        <f>'Income Statement'!D26</f>
        <v>87.1</v>
      </c>
      <c r="E9" s="22">
        <f>'Income Statement'!E26</f>
        <v>104.3</v>
      </c>
      <c r="F9" s="22">
        <f>'Income Statement'!F26</f>
        <v>122.76600000000001</v>
      </c>
      <c r="G9" s="22">
        <f>'Income Statement'!G26</f>
        <v>144.96482051672666</v>
      </c>
      <c r="H9" s="22">
        <f>'Income Statement'!H26</f>
        <v>169.89454428731437</v>
      </c>
      <c r="I9" s="22">
        <f>'Income Statement'!I26</f>
        <v>197.84599958837202</v>
      </c>
      <c r="J9" s="22">
        <f>'Income Statement'!J26</f>
        <v>229.14898202418345</v>
      </c>
    </row>
    <row r="10" spans="1:10" ht="16.5" customHeight="1" x14ac:dyDescent="0.45">
      <c r="B10" s="17" t="s">
        <v>73</v>
      </c>
      <c r="C10" s="17"/>
      <c r="D10" s="22">
        <f>'Income Statement'!D20</f>
        <v>47</v>
      </c>
      <c r="E10" s="22">
        <f>'Income Statement'!E20</f>
        <v>50</v>
      </c>
      <c r="F10" s="22">
        <f>'Income Statement'!F20</f>
        <v>56.6</v>
      </c>
      <c r="G10" s="22">
        <f>'Income Statement'!G20</f>
        <v>63.86</v>
      </c>
      <c r="H10" s="22">
        <f>'Income Statement'!H20</f>
        <v>71.846000000000004</v>
      </c>
      <c r="I10" s="22">
        <f>'Income Statement'!I20</f>
        <v>80.630600000000001</v>
      </c>
      <c r="J10" s="22">
        <f>'Income Statement'!J20</f>
        <v>90.293660000000003</v>
      </c>
    </row>
    <row r="11" spans="1:10" ht="16.5" customHeight="1" x14ac:dyDescent="0.45">
      <c r="B11" s="17" t="s">
        <v>74</v>
      </c>
      <c r="C11" s="17"/>
      <c r="D11" s="22">
        <f>-('Balance Sheet'!D10-'Balance Sheet'!C10)</f>
        <v>-13</v>
      </c>
      <c r="E11" s="22">
        <f>-('Balance Sheet'!E10-'Balance Sheet'!D10)</f>
        <v>-10</v>
      </c>
      <c r="F11" s="22">
        <f>-('Balance Sheet'!F10-'Balance Sheet'!E10)</f>
        <v>-12.724279835390945</v>
      </c>
      <c r="G11" s="22">
        <f>-('Balance Sheet'!G10-'Balance Sheet'!F10)</f>
        <v>-13.272427983539075</v>
      </c>
      <c r="H11" s="22">
        <f>-('Balance Sheet'!H10-'Balance Sheet'!G10)</f>
        <v>-14.599670781892996</v>
      </c>
      <c r="I11" s="22">
        <f>-('Balance Sheet'!I10-'Balance Sheet'!H10)</f>
        <v>-16.059637860082319</v>
      </c>
      <c r="J11" s="22">
        <f>-('Balance Sheet'!J10-'Balance Sheet'!I10)</f>
        <v>-17.665601646090551</v>
      </c>
    </row>
    <row r="12" spans="1:10" ht="16.5" customHeight="1" x14ac:dyDescent="0.45">
      <c r="B12" s="17" t="s">
        <v>75</v>
      </c>
      <c r="C12" s="17"/>
      <c r="D12" s="22">
        <f>-('Balance Sheet'!D11-'Balance Sheet'!C11)</f>
        <v>-9</v>
      </c>
      <c r="E12" s="22">
        <f>-('Balance Sheet'!E11-'Balance Sheet'!D11)</f>
        <v>-8</v>
      </c>
      <c r="F12" s="22">
        <f>-('Balance Sheet'!F11-'Balance Sheet'!E11)</f>
        <v>-9.0596430454100556</v>
      </c>
      <c r="G12" s="22">
        <f>-('Balance Sheet'!G11-'Balance Sheet'!F11)</f>
        <v>-9.9059643045409871</v>
      </c>
      <c r="H12" s="22">
        <f>-('Balance Sheet'!H11-'Balance Sheet'!G11)</f>
        <v>-10.89656073499512</v>
      </c>
      <c r="I12" s="22">
        <f>-('Balance Sheet'!I11-'Balance Sheet'!H11)</f>
        <v>-11.986216808494603</v>
      </c>
      <c r="J12" s="22">
        <f>-('Balance Sheet'!J11-'Balance Sheet'!I11)</f>
        <v>-13.184838489344088</v>
      </c>
    </row>
    <row r="13" spans="1:10" ht="16.5" customHeight="1" x14ac:dyDescent="0.45">
      <c r="B13" s="17" t="s">
        <v>76</v>
      </c>
      <c r="C13" s="17"/>
      <c r="D13" s="22">
        <f>-('Balance Sheet'!D12-'Balance Sheet'!C12)</f>
        <v>-3</v>
      </c>
      <c r="E13" s="22">
        <f>-('Balance Sheet'!E12-'Balance Sheet'!D12)</f>
        <v>-3</v>
      </c>
      <c r="F13" s="22">
        <f>-('Balance Sheet'!F12-'Balance Sheet'!E12)</f>
        <v>-3</v>
      </c>
      <c r="G13" s="22">
        <f>-('Balance Sheet'!G12-'Balance Sheet'!F12)</f>
        <v>-3.2999999999999972</v>
      </c>
      <c r="H13" s="22">
        <f>-('Balance Sheet'!H12-'Balance Sheet'!G12)</f>
        <v>-3.6300000000000026</v>
      </c>
      <c r="I13" s="22">
        <f>-('Balance Sheet'!I12-'Balance Sheet'!H12)</f>
        <v>-3.9930000000000021</v>
      </c>
      <c r="J13" s="22">
        <f>-('Balance Sheet'!J12-'Balance Sheet'!I12)</f>
        <v>-4.3923000000000059</v>
      </c>
    </row>
    <row r="14" spans="1:10" ht="16.5" customHeight="1" x14ac:dyDescent="0.45">
      <c r="B14" s="17" t="s">
        <v>77</v>
      </c>
      <c r="C14" s="17"/>
      <c r="D14" s="22">
        <f>('Balance Sheet'!D19-'Balance Sheet'!C19)</f>
        <v>7</v>
      </c>
      <c r="E14" s="22">
        <f>('Balance Sheet'!E19-'Balance Sheet'!D19)</f>
        <v>6</v>
      </c>
      <c r="F14" s="22">
        <f>('Balance Sheet'!F19-'Balance Sheet'!E19)</f>
        <v>7.2363631799583317</v>
      </c>
      <c r="G14" s="22">
        <f>('Balance Sheet'!G19-'Balance Sheet'!F19)</f>
        <v>7.7236363179958403</v>
      </c>
      <c r="H14" s="22">
        <f>('Balance Sheet'!H19-'Balance Sheet'!G19)</f>
        <v>8.4959999497954044</v>
      </c>
      <c r="I14" s="22">
        <f>('Balance Sheet'!I19-'Balance Sheet'!H19)</f>
        <v>9.3455999447749747</v>
      </c>
      <c r="J14" s="22">
        <f>('Balance Sheet'!J19-'Balance Sheet'!I19)</f>
        <v>10.280159939252457</v>
      </c>
    </row>
    <row r="15" spans="1:10" ht="16.5" customHeight="1" x14ac:dyDescent="0.45">
      <c r="B15" s="17" t="s">
        <v>78</v>
      </c>
      <c r="C15" s="17"/>
      <c r="D15" s="22">
        <f>('Balance Sheet'!D20-'Balance Sheet'!C20)</f>
        <v>4</v>
      </c>
      <c r="E15" s="22">
        <f>('Balance Sheet'!E20-'Balance Sheet'!D20)</f>
        <v>4</v>
      </c>
      <c r="F15" s="22">
        <f>('Balance Sheet'!F20-'Balance Sheet'!E20)</f>
        <v>4</v>
      </c>
      <c r="G15" s="22">
        <f>('Balance Sheet'!G20-'Balance Sheet'!F20)</f>
        <v>4.3999999999999986</v>
      </c>
      <c r="H15" s="22">
        <f>('Balance Sheet'!H20-'Balance Sheet'!G20)</f>
        <v>4.8400000000000034</v>
      </c>
      <c r="I15" s="22">
        <f>('Balance Sheet'!I20-'Balance Sheet'!H20)</f>
        <v>5.3240000000000052</v>
      </c>
      <c r="J15" s="22">
        <f>('Balance Sheet'!J20-'Balance Sheet'!I20)</f>
        <v>5.8564000000000078</v>
      </c>
    </row>
    <row r="16" spans="1:10" ht="16.5" customHeight="1" x14ac:dyDescent="0.45">
      <c r="B16" s="24" t="s">
        <v>79</v>
      </c>
      <c r="C16" s="24"/>
      <c r="D16" s="26">
        <f t="shared" ref="D16:E16" si="0">SUM(D9:D15)</f>
        <v>120.1</v>
      </c>
      <c r="E16" s="26">
        <f t="shared" si="0"/>
        <v>143.30000000000001</v>
      </c>
      <c r="F16" s="26">
        <f>SUM(F9:F15)</f>
        <v>165.81844029915737</v>
      </c>
      <c r="G16" s="26">
        <f>SUM(G9:G15)</f>
        <v>194.47006454664248</v>
      </c>
      <c r="H16" s="26">
        <f>SUM(H9:H15)</f>
        <v>225.95031272022166</v>
      </c>
      <c r="I16" s="26">
        <f>SUM(I9:I15)</f>
        <v>261.10734486457011</v>
      </c>
      <c r="J16" s="26">
        <f>SUM(J9:J15)</f>
        <v>300.33646182800135</v>
      </c>
    </row>
    <row r="17" spans="2:10" ht="16.5" customHeight="1" x14ac:dyDescent="0.45"/>
    <row r="18" spans="2:10" ht="16.5" customHeight="1" x14ac:dyDescent="0.45">
      <c r="B18" s="21" t="s">
        <v>80</v>
      </c>
      <c r="C18" s="21"/>
    </row>
    <row r="19" spans="2:10" ht="16.5" customHeight="1" x14ac:dyDescent="0.45">
      <c r="B19" s="17" t="s">
        <v>81</v>
      </c>
      <c r="C19" s="17"/>
      <c r="D19" s="22">
        <f>-('Balance Sheet'!D14-'Balance Sheet'!C14+'Income Statement'!D20)</f>
        <v>-67</v>
      </c>
      <c r="E19" s="22">
        <f>-('Balance Sheet'!E14-'Balance Sheet'!D14+'Income Statement'!E20)</f>
        <v>-80</v>
      </c>
      <c r="F19" s="22">
        <f>-Schedules!F7</f>
        <v>-66</v>
      </c>
      <c r="G19" s="22">
        <f>-Schedules!G7</f>
        <v>-72.599999999999994</v>
      </c>
      <c r="H19" s="22">
        <f>-Schedules!H7</f>
        <v>-79.86</v>
      </c>
      <c r="I19" s="22">
        <f>-Schedules!I7</f>
        <v>-87.846000000000004</v>
      </c>
      <c r="J19" s="22">
        <f>-Schedules!J7</f>
        <v>-96.630600000000015</v>
      </c>
    </row>
    <row r="20" spans="2:10" ht="16.5" customHeight="1" x14ac:dyDescent="0.45">
      <c r="B20" s="24" t="s">
        <v>82</v>
      </c>
      <c r="C20" s="24"/>
      <c r="D20" s="26">
        <f t="shared" ref="D20:E20" si="1">D19</f>
        <v>-67</v>
      </c>
      <c r="E20" s="26">
        <f t="shared" si="1"/>
        <v>-80</v>
      </c>
      <c r="F20" s="26">
        <f>F19</f>
        <v>-66</v>
      </c>
      <c r="G20" s="26">
        <f>G19</f>
        <v>-72.599999999999994</v>
      </c>
      <c r="H20" s="26">
        <f>H19</f>
        <v>-79.86</v>
      </c>
      <c r="I20" s="26">
        <f>I19</f>
        <v>-87.846000000000004</v>
      </c>
      <c r="J20" s="26">
        <f>J19</f>
        <v>-96.630600000000015</v>
      </c>
    </row>
    <row r="21" spans="2:10" ht="16.5" customHeight="1" x14ac:dyDescent="0.45"/>
    <row r="22" spans="2:10" ht="16.5" customHeight="1" x14ac:dyDescent="0.45">
      <c r="B22" s="21" t="s">
        <v>83</v>
      </c>
      <c r="C22" s="21"/>
    </row>
    <row r="23" spans="2:10" ht="16.5" customHeight="1" x14ac:dyDescent="0.45">
      <c r="B23" s="17" t="s">
        <v>84</v>
      </c>
      <c r="C23" s="17"/>
      <c r="D23" s="22">
        <f>'Balance Sheet'!D22-'Balance Sheet'!C22</f>
        <v>-10</v>
      </c>
      <c r="E23" s="22">
        <f>'Balance Sheet'!E22-'Balance Sheet'!D22</f>
        <v>-10</v>
      </c>
      <c r="F23" s="22">
        <f>Schedules!F21-Schedules!F20</f>
        <v>-20</v>
      </c>
      <c r="G23" s="22">
        <f>Schedules!G21-Schedules!G20</f>
        <v>-20</v>
      </c>
      <c r="H23" s="22">
        <f>Schedules!H21-Schedules!H20</f>
        <v>-20</v>
      </c>
      <c r="I23" s="22">
        <f>Schedules!I21-Schedules!I20</f>
        <v>-20</v>
      </c>
      <c r="J23" s="22">
        <f>Schedules!J21-Schedules!J20</f>
        <v>-20</v>
      </c>
    </row>
    <row r="24" spans="2:10" ht="16.5" customHeight="1" x14ac:dyDescent="0.45">
      <c r="B24" s="17" t="s">
        <v>24</v>
      </c>
      <c r="C24" s="17"/>
      <c r="D24" s="22">
        <f>('Balance Sheet'!D26-'Balance Sheet'!C26)</f>
        <v>0</v>
      </c>
      <c r="E24" s="22">
        <f>('Balance Sheet'!E26-'Balance Sheet'!D26)</f>
        <v>0</v>
      </c>
      <c r="F24" s="22">
        <f>Assumptions!D31</f>
        <v>0</v>
      </c>
      <c r="G24" s="22">
        <f>Assumptions!E31</f>
        <v>0</v>
      </c>
      <c r="H24" s="22">
        <f>Assumptions!F31</f>
        <v>0</v>
      </c>
      <c r="I24" s="22">
        <f>Assumptions!G31</f>
        <v>0</v>
      </c>
      <c r="J24" s="22">
        <f>Assumptions!H31</f>
        <v>0</v>
      </c>
    </row>
    <row r="25" spans="2:10" ht="16.5" customHeight="1" x14ac:dyDescent="0.45">
      <c r="B25" s="17" t="s">
        <v>85</v>
      </c>
      <c r="C25" s="17"/>
      <c r="D25" s="22">
        <f>-'Income Statement'!D27</f>
        <v>0</v>
      </c>
      <c r="E25" s="22">
        <f>-'Income Statement'!E27</f>
        <v>0</v>
      </c>
      <c r="F25" s="22">
        <f>-'Income Statement'!F27</f>
        <v>-36.829799999999999</v>
      </c>
      <c r="G25" s="22">
        <f>-'Income Statement'!G27</f>
        <v>-43.489446155017994</v>
      </c>
      <c r="H25" s="22">
        <f>-'Income Statement'!H27</f>
        <v>-50.968363286194311</v>
      </c>
      <c r="I25" s="22">
        <f>-'Income Statement'!I27</f>
        <v>-59.353799876511601</v>
      </c>
      <c r="J25" s="22">
        <f>-'Income Statement'!J27</f>
        <v>-68.744694607255028</v>
      </c>
    </row>
    <row r="26" spans="2:10" ht="16.5" customHeight="1" x14ac:dyDescent="0.45">
      <c r="B26" s="24" t="s">
        <v>86</v>
      </c>
      <c r="C26" s="24"/>
      <c r="D26" s="26">
        <f t="shared" ref="D26:E26" si="2">SUM(D23:D25)</f>
        <v>-10</v>
      </c>
      <c r="E26" s="26">
        <f t="shared" si="2"/>
        <v>-10</v>
      </c>
      <c r="F26" s="26">
        <f>SUM(F23:F25)</f>
        <v>-56.829799999999999</v>
      </c>
      <c r="G26" s="26">
        <f>SUM(G23:G25)</f>
        <v>-63.489446155017994</v>
      </c>
      <c r="H26" s="26">
        <f>SUM(H23:H25)</f>
        <v>-70.968363286194318</v>
      </c>
      <c r="I26" s="26">
        <f>SUM(I23:I25)</f>
        <v>-79.353799876511601</v>
      </c>
      <c r="J26" s="26">
        <f>SUM(J23:J25)</f>
        <v>-88.744694607255028</v>
      </c>
    </row>
    <row r="27" spans="2:10" ht="16.5" customHeight="1" x14ac:dyDescent="0.45"/>
    <row r="28" spans="2:10" ht="16.5" customHeight="1" x14ac:dyDescent="0.45">
      <c r="B28" s="24" t="s">
        <v>87</v>
      </c>
      <c r="C28" s="24"/>
      <c r="D28" s="25">
        <f>D30-D29</f>
        <v>6</v>
      </c>
      <c r="E28" s="25">
        <f>E30-E29</f>
        <v>9</v>
      </c>
      <c r="F28" s="25">
        <f>F16+F20+F26</f>
        <v>42.988640299157375</v>
      </c>
      <c r="G28" s="25">
        <f>G16+G20+G26</f>
        <v>58.380618391624488</v>
      </c>
      <c r="H28" s="25">
        <f>H16+H20+H26</f>
        <v>75.121949434027357</v>
      </c>
      <c r="I28" s="25">
        <f>I16+I20+I26</f>
        <v>93.907544988058504</v>
      </c>
      <c r="J28" s="25">
        <f>J16+J20+J26</f>
        <v>114.9611672207463</v>
      </c>
    </row>
    <row r="29" spans="2:10" ht="16.5" customHeight="1" x14ac:dyDescent="0.45">
      <c r="B29" s="17" t="s">
        <v>88</v>
      </c>
      <c r="C29" s="17"/>
      <c r="D29" s="22">
        <f>'Balance Sheet'!C9</f>
        <v>85</v>
      </c>
      <c r="E29" s="22">
        <f>'Balance Sheet'!D9</f>
        <v>91</v>
      </c>
      <c r="F29" s="22">
        <f>'Balance Sheet'!E9</f>
        <v>100</v>
      </c>
      <c r="G29" s="22">
        <f>'Balance Sheet'!F9</f>
        <v>142.98864029915737</v>
      </c>
      <c r="H29" s="22">
        <f>'Balance Sheet'!G9</f>
        <v>201.36925869078186</v>
      </c>
      <c r="I29" s="22">
        <f>'Balance Sheet'!H9</f>
        <v>276.49120812480919</v>
      </c>
      <c r="J29" s="22">
        <f>'Balance Sheet'!I9</f>
        <v>370.39875311286767</v>
      </c>
    </row>
    <row r="30" spans="2:10" ht="16.5" customHeight="1" x14ac:dyDescent="0.45">
      <c r="B30" s="24" t="s">
        <v>89</v>
      </c>
      <c r="C30" s="24"/>
      <c r="D30" s="26">
        <f>'Balance Sheet'!D9</f>
        <v>91</v>
      </c>
      <c r="E30" s="26">
        <f>'Balance Sheet'!E9</f>
        <v>100</v>
      </c>
      <c r="F30" s="26">
        <f>F28+F29</f>
        <v>142.98864029915737</v>
      </c>
      <c r="G30" s="26">
        <f>G28+G29</f>
        <v>201.36925869078186</v>
      </c>
      <c r="H30" s="26">
        <f>H28+H29</f>
        <v>276.49120812480919</v>
      </c>
      <c r="I30" s="26">
        <f>I28+I29</f>
        <v>370.39875311286767</v>
      </c>
      <c r="J30" s="26">
        <f>J28+J29</f>
        <v>485.35992033361396</v>
      </c>
    </row>
    <row r="32" spans="2:10" ht="16.5" customHeight="1" x14ac:dyDescent="0.45">
      <c r="B32" s="31" t="s">
        <v>203</v>
      </c>
      <c r="C32" s="24"/>
      <c r="D32" s="32">
        <f>D16+D20</f>
        <v>53.099999999999994</v>
      </c>
      <c r="E32" s="32">
        <f>E16+E20</f>
        <v>63.300000000000011</v>
      </c>
      <c r="F32" s="32">
        <f>F16+F20</f>
        <v>99.818440299157373</v>
      </c>
      <c r="G32" s="32">
        <f>G16+G20</f>
        <v>121.87006454664248</v>
      </c>
      <c r="H32" s="32">
        <f>H16+H20</f>
        <v>146.09031272022168</v>
      </c>
      <c r="I32" s="32">
        <f>I16+I20</f>
        <v>173.26134486457011</v>
      </c>
      <c r="J32" s="32">
        <f>J16+J20</f>
        <v>203.70586182800133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3:J3"/>
  </mergeCells>
  <pageMargins left="0.75" right="0.75" top="1" bottom="1" header="0.511811023622047" footer="0.511811023622047"/>
  <pageSetup scale="96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9"/>
  <sheetViews>
    <sheetView showGridLines="0" zoomScaleNormal="100" workbookViewId="0">
      <pane ySplit="4" topLeftCell="A5" activePane="bottomLeft" state="frozen"/>
      <selection pane="bottomLeft" sqref="A1:J1"/>
    </sheetView>
  </sheetViews>
  <sheetFormatPr defaultColWidth="8.6640625" defaultRowHeight="14.25" x14ac:dyDescent="0.45"/>
  <cols>
    <col min="1" max="1" width="3.1328125" style="12" customWidth="1"/>
    <col min="2" max="2" width="27.796875" style="12" bestFit="1" customWidth="1"/>
    <col min="3" max="10" width="11.59765625" style="12" customWidth="1"/>
    <col min="11" max="11" width="2.265625" style="12" customWidth="1"/>
    <col min="12" max="16384" width="8.6640625" style="12"/>
  </cols>
  <sheetData>
    <row r="1" spans="1:10" customFormat="1" ht="28.05" customHeight="1" x14ac:dyDescent="0.45">
      <c r="A1" s="48" t="s">
        <v>90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customFormat="1" ht="16.05" customHeight="1" x14ac:dyDescent="0.45">
      <c r="A2" s="49" t="s">
        <v>91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3" customHeight="1" x14ac:dyDescent="0.45">
      <c r="A3" s="50"/>
      <c r="B3" s="50"/>
      <c r="C3" s="50"/>
      <c r="D3" s="50"/>
      <c r="E3" s="50"/>
      <c r="F3" s="50"/>
      <c r="G3" s="50"/>
      <c r="H3" s="50"/>
      <c r="I3" s="50"/>
      <c r="J3" s="50"/>
    </row>
    <row r="5" spans="1:10" x14ac:dyDescent="0.45">
      <c r="B5" s="51" t="s">
        <v>92</v>
      </c>
      <c r="C5" s="51"/>
      <c r="D5" s="51"/>
      <c r="E5" s="51"/>
      <c r="F5" s="51"/>
      <c r="G5" s="51"/>
      <c r="H5" s="51"/>
      <c r="I5" s="51"/>
      <c r="J5" s="51"/>
    </row>
    <row r="6" spans="1:10" ht="16.5" customHeight="1" x14ac:dyDescent="0.45">
      <c r="C6" s="12" t="s">
        <v>181</v>
      </c>
      <c r="D6" s="12" t="s">
        <v>182</v>
      </c>
      <c r="E6" s="16" t="s">
        <v>183</v>
      </c>
      <c r="F6" s="16" t="s">
        <v>2</v>
      </c>
      <c r="G6" s="16" t="s">
        <v>3</v>
      </c>
      <c r="H6" s="16" t="s">
        <v>4</v>
      </c>
      <c r="I6" s="16" t="s">
        <v>5</v>
      </c>
      <c r="J6" s="16" t="s">
        <v>6</v>
      </c>
    </row>
    <row r="7" spans="1:10" ht="16.5" customHeight="1" x14ac:dyDescent="0.45">
      <c r="B7" s="17" t="s">
        <v>93</v>
      </c>
      <c r="C7" s="17"/>
      <c r="D7" s="17"/>
      <c r="E7" s="33" t="s">
        <v>94</v>
      </c>
      <c r="F7" s="22">
        <f>'Income Statement'!F7*(Assumptions!D11+Assumptions!$F$41)</f>
        <v>66</v>
      </c>
      <c r="G7" s="22">
        <f>'Income Statement'!G7*(Assumptions!E11+Assumptions!$F$41)</f>
        <v>72.599999999999994</v>
      </c>
      <c r="H7" s="22">
        <f>'Income Statement'!H7*(Assumptions!F11+Assumptions!$F$41)</f>
        <v>79.86</v>
      </c>
      <c r="I7" s="22">
        <f>'Income Statement'!I7*(Assumptions!G11+Assumptions!$F$41)</f>
        <v>87.846000000000004</v>
      </c>
      <c r="J7" s="22">
        <f>'Income Statement'!J7*(Assumptions!H11+Assumptions!$F$41)</f>
        <v>96.630600000000015</v>
      </c>
    </row>
    <row r="8" spans="1:10" ht="16.5" customHeight="1" x14ac:dyDescent="0.45">
      <c r="B8" s="17" t="s">
        <v>95</v>
      </c>
      <c r="C8" s="17"/>
      <c r="D8" s="17"/>
      <c r="F8" s="22">
        <f>'Balance Sheet'!$E$14</f>
        <v>500</v>
      </c>
      <c r="G8" s="22">
        <f>F16</f>
        <v>509.4</v>
      </c>
      <c r="H8" s="22">
        <f>G16</f>
        <v>518.14</v>
      </c>
      <c r="I8" s="22">
        <f>H16</f>
        <v>526.154</v>
      </c>
      <c r="J8" s="22">
        <f>I16</f>
        <v>533.36940000000004</v>
      </c>
    </row>
    <row r="9" spans="1:10" ht="16.5" customHeight="1" x14ac:dyDescent="0.45">
      <c r="B9" s="17" t="s">
        <v>96</v>
      </c>
      <c r="C9" s="17"/>
      <c r="D9" s="17"/>
      <c r="F9" s="22">
        <f>IF(0&lt;Assumptions!$C$17,'Balance Sheet'!$E$14/Assumptions!$C$17,0)</f>
        <v>50</v>
      </c>
      <c r="G9" s="22">
        <f>IF(1&lt;Assumptions!$C$17,'Balance Sheet'!$E$14/Assumptions!$C$17,0)</f>
        <v>50</v>
      </c>
      <c r="H9" s="22">
        <f>IF(2&lt;Assumptions!$C$17,'Balance Sheet'!$E$14/Assumptions!$C$17,0)</f>
        <v>50</v>
      </c>
      <c r="I9" s="22">
        <f>IF(3&lt;Assumptions!$C$17,'Balance Sheet'!$E$14/Assumptions!$C$17,0)</f>
        <v>50</v>
      </c>
      <c r="J9" s="22">
        <f>IF(4&lt;Assumptions!$C$17,'Balance Sheet'!$E$14/Assumptions!$C$17,0)</f>
        <v>50</v>
      </c>
    </row>
    <row r="10" spans="1:10" ht="16.5" customHeight="1" x14ac:dyDescent="0.45">
      <c r="B10" s="34" t="s">
        <v>97</v>
      </c>
      <c r="C10" s="34"/>
      <c r="D10" s="34"/>
      <c r="F10" s="27">
        <f>IF(0&lt;Assumptions!$C$16,$F$7/Assumptions!$C$16,0)</f>
        <v>6.6</v>
      </c>
      <c r="G10" s="27">
        <f>IF(1&lt;Assumptions!$C$16,$F$7/Assumptions!$C$16,0)</f>
        <v>6.6</v>
      </c>
      <c r="H10" s="27">
        <f>IF(2&lt;Assumptions!$C$16,$F$7/Assumptions!$C$16,0)</f>
        <v>6.6</v>
      </c>
      <c r="I10" s="27">
        <f>IF(3&lt;Assumptions!$C$16,$F$7/Assumptions!$C$16,0)</f>
        <v>6.6</v>
      </c>
      <c r="J10" s="27">
        <f>IF(4&lt;Assumptions!$C$16,$F$7/Assumptions!$C$16,0)</f>
        <v>6.6</v>
      </c>
    </row>
    <row r="11" spans="1:10" ht="16.5" customHeight="1" x14ac:dyDescent="0.45">
      <c r="B11" s="34" t="s">
        <v>98</v>
      </c>
      <c r="C11" s="34"/>
      <c r="D11" s="34"/>
      <c r="F11" s="27">
        <v>0</v>
      </c>
      <c r="G11" s="27">
        <f>IF(0&lt;Assumptions!$C$16,$G$7/Assumptions!$C$16,0)</f>
        <v>7.26</v>
      </c>
      <c r="H11" s="27">
        <f>IF(1&lt;Assumptions!$C$16,$G$7/Assumptions!$C$16,0)</f>
        <v>7.26</v>
      </c>
      <c r="I11" s="27">
        <f>IF(2&lt;Assumptions!$C$16,$G$7/Assumptions!$C$16,0)</f>
        <v>7.26</v>
      </c>
      <c r="J11" s="27">
        <f>IF(3&lt;Assumptions!$C$16,$G$7/Assumptions!$C$16,0)</f>
        <v>7.26</v>
      </c>
    </row>
    <row r="12" spans="1:10" ht="16.5" customHeight="1" x14ac:dyDescent="0.45">
      <c r="B12" s="34" t="s">
        <v>99</v>
      </c>
      <c r="C12" s="34"/>
      <c r="D12" s="34"/>
      <c r="F12" s="27">
        <v>0</v>
      </c>
      <c r="G12" s="27">
        <v>0</v>
      </c>
      <c r="H12" s="27">
        <f>IF(0&lt;Assumptions!$C$16,$H$7/Assumptions!$C$16,0)</f>
        <v>7.9859999999999998</v>
      </c>
      <c r="I12" s="27">
        <f>IF(1&lt;Assumptions!$C$16,$H$7/Assumptions!$C$16,0)</f>
        <v>7.9859999999999998</v>
      </c>
      <c r="J12" s="27">
        <f>IF(2&lt;Assumptions!$C$16,$H$7/Assumptions!$C$16,0)</f>
        <v>7.9859999999999998</v>
      </c>
    </row>
    <row r="13" spans="1:10" ht="16.5" customHeight="1" x14ac:dyDescent="0.45">
      <c r="B13" s="34" t="s">
        <v>100</v>
      </c>
      <c r="C13" s="34"/>
      <c r="D13" s="34"/>
      <c r="F13" s="27">
        <v>0</v>
      </c>
      <c r="G13" s="27">
        <v>0</v>
      </c>
      <c r="H13" s="27">
        <v>0</v>
      </c>
      <c r="I13" s="27">
        <f>IF(0&lt;Assumptions!$C$16,$I$7/Assumptions!$C$16,0)</f>
        <v>8.7846000000000011</v>
      </c>
      <c r="J13" s="27">
        <f>IF(1&lt;Assumptions!$C$16,$I$7/Assumptions!$C$16,0)</f>
        <v>8.7846000000000011</v>
      </c>
    </row>
    <row r="14" spans="1:10" ht="16.5" customHeight="1" x14ac:dyDescent="0.45">
      <c r="B14" s="34" t="s">
        <v>101</v>
      </c>
      <c r="C14" s="34"/>
      <c r="D14" s="34"/>
      <c r="F14" s="27">
        <v>0</v>
      </c>
      <c r="G14" s="27">
        <v>0</v>
      </c>
      <c r="H14" s="27">
        <v>0</v>
      </c>
      <c r="I14" s="27">
        <v>0</v>
      </c>
      <c r="J14" s="27">
        <f>IF(0&lt;Assumptions!$C$16,$J$7/Assumptions!$C$16,0)</f>
        <v>9.6630600000000015</v>
      </c>
    </row>
    <row r="15" spans="1:10" ht="16.5" customHeight="1" x14ac:dyDescent="0.45">
      <c r="B15" s="24" t="s">
        <v>102</v>
      </c>
      <c r="C15" s="24"/>
      <c r="D15" s="24"/>
      <c r="F15" s="26">
        <f>SUM(F9:F14)</f>
        <v>56.6</v>
      </c>
      <c r="G15" s="26">
        <f>SUM(G9:G14)</f>
        <v>63.86</v>
      </c>
      <c r="H15" s="26">
        <f>SUM(H9:H14)</f>
        <v>71.846000000000004</v>
      </c>
      <c r="I15" s="26">
        <f>SUM(I9:I14)</f>
        <v>80.630600000000001</v>
      </c>
      <c r="J15" s="26">
        <f>SUM(J9:J14)</f>
        <v>90.293660000000003</v>
      </c>
    </row>
    <row r="16" spans="1:10" ht="16.5" customHeight="1" x14ac:dyDescent="0.45">
      <c r="B16" s="24" t="s">
        <v>103</v>
      </c>
      <c r="C16" s="24"/>
      <c r="D16" s="24"/>
      <c r="F16" s="25">
        <f>F8+F7-F15</f>
        <v>509.4</v>
      </c>
      <c r="G16" s="25">
        <f>G8+G7-G15</f>
        <v>518.14</v>
      </c>
      <c r="H16" s="25">
        <f>H8+H7-H15</f>
        <v>526.154</v>
      </c>
      <c r="I16" s="25">
        <f>I8+I7-I15</f>
        <v>533.36940000000004</v>
      </c>
      <c r="J16" s="25">
        <f>J8+J7-J15</f>
        <v>539.70633999999995</v>
      </c>
    </row>
    <row r="17" spans="2:10" ht="16.5" customHeight="1" x14ac:dyDescent="0.45"/>
    <row r="18" spans="2:10" ht="16.5" customHeight="1" x14ac:dyDescent="0.45">
      <c r="B18" s="51" t="s">
        <v>104</v>
      </c>
      <c r="C18" s="51"/>
      <c r="D18" s="51"/>
      <c r="E18" s="51"/>
      <c r="F18" s="51"/>
      <c r="G18" s="51"/>
      <c r="H18" s="51"/>
      <c r="I18" s="51"/>
      <c r="J18" s="51"/>
    </row>
    <row r="19" spans="2:10" ht="16.5" customHeight="1" x14ac:dyDescent="0.45">
      <c r="B19" s="17" t="s">
        <v>105</v>
      </c>
      <c r="C19" s="17"/>
      <c r="D19" s="17"/>
      <c r="F19" s="22">
        <f>'Balance Sheet'!$E$22</f>
        <v>400</v>
      </c>
      <c r="G19" s="22">
        <f>F22</f>
        <v>380</v>
      </c>
      <c r="H19" s="22">
        <f>G22</f>
        <v>360</v>
      </c>
      <c r="I19" s="22">
        <f>H22</f>
        <v>340</v>
      </c>
      <c r="J19" s="22">
        <f>I22</f>
        <v>320</v>
      </c>
    </row>
    <row r="20" spans="2:10" ht="16.5" customHeight="1" x14ac:dyDescent="0.45">
      <c r="B20" s="17" t="s">
        <v>106</v>
      </c>
      <c r="C20" s="17"/>
      <c r="D20" s="17"/>
      <c r="F20" s="22">
        <f>Assumptions!D29</f>
        <v>20</v>
      </c>
      <c r="G20" s="22">
        <f>Assumptions!E29</f>
        <v>20</v>
      </c>
      <c r="H20" s="22">
        <f>Assumptions!F29</f>
        <v>20</v>
      </c>
      <c r="I20" s="22">
        <f>Assumptions!G29</f>
        <v>20</v>
      </c>
      <c r="J20" s="22">
        <f>Assumptions!H29</f>
        <v>20</v>
      </c>
    </row>
    <row r="21" spans="2:10" ht="16.5" customHeight="1" x14ac:dyDescent="0.45">
      <c r="B21" s="17" t="s">
        <v>107</v>
      </c>
      <c r="C21" s="17"/>
      <c r="D21" s="17"/>
      <c r="F21" s="22">
        <f>Assumptions!D30</f>
        <v>0</v>
      </c>
      <c r="G21" s="22">
        <f>Assumptions!E30</f>
        <v>0</v>
      </c>
      <c r="H21" s="22">
        <f>Assumptions!F30</f>
        <v>0</v>
      </c>
      <c r="I21" s="22">
        <f>Assumptions!G30</f>
        <v>0</v>
      </c>
      <c r="J21" s="22">
        <f>Assumptions!H30</f>
        <v>0</v>
      </c>
    </row>
    <row r="22" spans="2:10" ht="16.5" customHeight="1" x14ac:dyDescent="0.45">
      <c r="B22" s="24" t="s">
        <v>108</v>
      </c>
      <c r="C22" s="24"/>
      <c r="D22" s="24"/>
      <c r="F22" s="26">
        <f>F19-F20+F21</f>
        <v>380</v>
      </c>
      <c r="G22" s="26">
        <f>G19-G20+G21</f>
        <v>360</v>
      </c>
      <c r="H22" s="26">
        <f>H19-H20+H21</f>
        <v>340</v>
      </c>
      <c r="I22" s="26">
        <f>I19-I20+I21</f>
        <v>320</v>
      </c>
      <c r="J22" s="26">
        <f>J19-J20+J21</f>
        <v>300</v>
      </c>
    </row>
    <row r="23" spans="2:10" ht="16.5" customHeight="1" x14ac:dyDescent="0.45">
      <c r="B23" s="17" t="s">
        <v>109</v>
      </c>
      <c r="C23" s="17"/>
      <c r="D23" s="17"/>
      <c r="F23" s="22">
        <f>Assumptions!D27*F19</f>
        <v>20</v>
      </c>
      <c r="G23" s="22">
        <f>Assumptions!E27*G19</f>
        <v>19</v>
      </c>
      <c r="H23" s="22">
        <f>Assumptions!F27*H19</f>
        <v>18</v>
      </c>
      <c r="I23" s="22">
        <f>Assumptions!G27*I19</f>
        <v>17</v>
      </c>
      <c r="J23" s="22">
        <f>Assumptions!H27*J19</f>
        <v>16</v>
      </c>
    </row>
    <row r="24" spans="2:10" ht="16.5" customHeight="1" x14ac:dyDescent="0.45"/>
    <row r="25" spans="2:10" ht="16.5" customHeight="1" x14ac:dyDescent="0.45">
      <c r="B25" s="51" t="s">
        <v>110</v>
      </c>
      <c r="C25" s="51"/>
      <c r="D25" s="51"/>
      <c r="E25" s="51"/>
      <c r="F25" s="51"/>
      <c r="G25" s="51"/>
      <c r="H25" s="51"/>
      <c r="I25" s="51"/>
      <c r="J25" s="51"/>
    </row>
    <row r="26" spans="2:10" ht="16.5" customHeight="1" x14ac:dyDescent="0.45">
      <c r="B26" s="17" t="s">
        <v>50</v>
      </c>
      <c r="C26" s="17"/>
      <c r="D26" s="17"/>
      <c r="E26" s="27">
        <f>'Balance Sheet'!E10</f>
        <v>120</v>
      </c>
      <c r="F26" s="27">
        <f>'Balance Sheet'!F10</f>
        <v>132.72427983539094</v>
      </c>
      <c r="G26" s="27">
        <f>'Balance Sheet'!G10</f>
        <v>145.99670781893002</v>
      </c>
      <c r="H26" s="27">
        <f>'Balance Sheet'!H10</f>
        <v>160.59637860082302</v>
      </c>
      <c r="I26" s="27">
        <f>'Balance Sheet'!I10</f>
        <v>176.65601646090533</v>
      </c>
      <c r="J26" s="27">
        <f>'Balance Sheet'!J10</f>
        <v>194.32161810699589</v>
      </c>
    </row>
    <row r="27" spans="2:10" ht="16.5" customHeight="1" x14ac:dyDescent="0.45">
      <c r="B27" s="17" t="s">
        <v>51</v>
      </c>
      <c r="C27" s="17"/>
      <c r="D27" s="17"/>
      <c r="E27" s="27">
        <f>'Balance Sheet'!E11</f>
        <v>90</v>
      </c>
      <c r="F27" s="27">
        <f>'Balance Sheet'!F11</f>
        <v>99.059643045410056</v>
      </c>
      <c r="G27" s="27">
        <f>'Balance Sheet'!G11</f>
        <v>108.96560734995104</v>
      </c>
      <c r="H27" s="27">
        <f>'Balance Sheet'!H11</f>
        <v>119.86216808494616</v>
      </c>
      <c r="I27" s="27">
        <f>'Balance Sheet'!I11</f>
        <v>131.84838489344077</v>
      </c>
      <c r="J27" s="27">
        <f>'Balance Sheet'!J11</f>
        <v>145.03322338278485</v>
      </c>
    </row>
    <row r="28" spans="2:10" ht="16.5" customHeight="1" x14ac:dyDescent="0.45">
      <c r="B28" s="17" t="s">
        <v>52</v>
      </c>
      <c r="C28" s="17"/>
      <c r="D28" s="17"/>
      <c r="E28" s="27">
        <f>'Balance Sheet'!E12</f>
        <v>30</v>
      </c>
      <c r="F28" s="27">
        <f>'Balance Sheet'!F12</f>
        <v>33</v>
      </c>
      <c r="G28" s="27">
        <f>'Balance Sheet'!G12</f>
        <v>36.299999999999997</v>
      </c>
      <c r="H28" s="27">
        <f>'Balance Sheet'!H12</f>
        <v>39.93</v>
      </c>
      <c r="I28" s="27">
        <f>'Balance Sheet'!I12</f>
        <v>43.923000000000002</v>
      </c>
      <c r="J28" s="27">
        <f>'Balance Sheet'!J12</f>
        <v>48.315300000000008</v>
      </c>
    </row>
    <row r="29" spans="2:10" ht="16.5" customHeight="1" x14ac:dyDescent="0.45">
      <c r="B29" s="17" t="s">
        <v>111</v>
      </c>
      <c r="C29" s="17"/>
      <c r="D29" s="17"/>
      <c r="E29" s="27">
        <f>-'Balance Sheet'!E19</f>
        <v>-70</v>
      </c>
      <c r="F29" s="27">
        <f>-'Balance Sheet'!F19</f>
        <v>-77.236363179958332</v>
      </c>
      <c r="G29" s="27">
        <f>-'Balance Sheet'!G19</f>
        <v>-84.959999497954172</v>
      </c>
      <c r="H29" s="27">
        <f>-'Balance Sheet'!H19</f>
        <v>-93.455999447749576</v>
      </c>
      <c r="I29" s="27">
        <f>-'Balance Sheet'!I19</f>
        <v>-102.80159939252455</v>
      </c>
      <c r="J29" s="27">
        <f>-'Balance Sheet'!J19</f>
        <v>-113.08175933177701</v>
      </c>
    </row>
    <row r="30" spans="2:10" ht="16.5" customHeight="1" x14ac:dyDescent="0.45">
      <c r="B30" s="17" t="s">
        <v>112</v>
      </c>
      <c r="C30" s="17"/>
      <c r="D30" s="17"/>
      <c r="E30" s="27">
        <f>-'Balance Sheet'!E20</f>
        <v>-40</v>
      </c>
      <c r="F30" s="27">
        <f>-'Balance Sheet'!F20</f>
        <v>-44</v>
      </c>
      <c r="G30" s="27">
        <f>-'Balance Sheet'!G20</f>
        <v>-48.4</v>
      </c>
      <c r="H30" s="27">
        <f>-'Balance Sheet'!H20</f>
        <v>-53.24</v>
      </c>
      <c r="I30" s="27">
        <f>-'Balance Sheet'!I20</f>
        <v>-58.564000000000007</v>
      </c>
      <c r="J30" s="27">
        <f>-'Balance Sheet'!J20</f>
        <v>-64.420400000000015</v>
      </c>
    </row>
    <row r="31" spans="2:10" ht="16.5" customHeight="1" x14ac:dyDescent="0.45">
      <c r="B31" s="24" t="s">
        <v>113</v>
      </c>
      <c r="C31" s="24"/>
      <c r="D31" s="24"/>
      <c r="E31" s="26">
        <f t="shared" ref="E31:J31" si="0">SUM(E26:E30)</f>
        <v>130</v>
      </c>
      <c r="F31" s="26">
        <f t="shared" si="0"/>
        <v>143.54755970084267</v>
      </c>
      <c r="G31" s="26">
        <f t="shared" si="0"/>
        <v>157.90231567092687</v>
      </c>
      <c r="H31" s="26">
        <f t="shared" si="0"/>
        <v>173.69254723801961</v>
      </c>
      <c r="I31" s="26">
        <f t="shared" si="0"/>
        <v>191.06180196182152</v>
      </c>
      <c r="J31" s="26">
        <f t="shared" si="0"/>
        <v>210.16798215800367</v>
      </c>
    </row>
    <row r="32" spans="2:10" ht="16.5" customHeight="1" x14ac:dyDescent="0.45">
      <c r="B32" s="17" t="s">
        <v>114</v>
      </c>
      <c r="C32" s="17"/>
      <c r="D32" s="17"/>
      <c r="F32" s="27">
        <f>-(F31-E31)</f>
        <v>-13.547559700842669</v>
      </c>
      <c r="G32" s="27">
        <f>-(G31-F31)</f>
        <v>-14.354755970084199</v>
      </c>
      <c r="H32" s="27">
        <f>-(H31-G31)</f>
        <v>-15.790231567092746</v>
      </c>
      <c r="I32" s="27">
        <f>-(I31-H31)</f>
        <v>-17.369254723801902</v>
      </c>
      <c r="J32" s="27">
        <f>-(J31-I31)</f>
        <v>-19.106180196182152</v>
      </c>
    </row>
    <row r="33" spans="2:10" ht="16.5" customHeight="1" x14ac:dyDescent="0.45"/>
    <row r="34" spans="2:10" ht="16.5" customHeight="1" x14ac:dyDescent="0.45">
      <c r="B34" s="51" t="s">
        <v>115</v>
      </c>
      <c r="C34" s="51"/>
      <c r="D34" s="51"/>
      <c r="E34" s="51"/>
      <c r="F34" s="51"/>
      <c r="G34" s="51"/>
      <c r="H34" s="51"/>
      <c r="I34" s="51"/>
      <c r="J34" s="51"/>
    </row>
    <row r="35" spans="2:10" ht="16.5" customHeight="1" x14ac:dyDescent="0.45">
      <c r="B35" s="17" t="s">
        <v>116</v>
      </c>
      <c r="C35" s="17"/>
      <c r="D35" s="17"/>
      <c r="E35" s="35">
        <f>'Balance Sheet'!E31</f>
        <v>0</v>
      </c>
      <c r="F35" s="35">
        <f>'Balance Sheet'!F31</f>
        <v>0</v>
      </c>
      <c r="G35" s="35">
        <f>'Balance Sheet'!G31</f>
        <v>0</v>
      </c>
      <c r="H35" s="35">
        <f>'Balance Sheet'!H31</f>
        <v>0</v>
      </c>
      <c r="I35" s="35">
        <f>'Balance Sheet'!I31</f>
        <v>0</v>
      </c>
      <c r="J35" s="35">
        <f>'Balance Sheet'!J31</f>
        <v>0</v>
      </c>
    </row>
    <row r="36" spans="2:10" ht="16.5" customHeight="1" x14ac:dyDescent="0.45">
      <c r="B36" s="17" t="s">
        <v>117</v>
      </c>
      <c r="C36" s="17"/>
      <c r="D36" s="17"/>
      <c r="F36" s="36" t="str">
        <f>IF('Balance Sheet'!F9&gt;=0,"OK","NEG")</f>
        <v>OK</v>
      </c>
      <c r="G36" s="36" t="str">
        <f>IF('Balance Sheet'!G9&gt;=0,"OK","NEG")</f>
        <v>OK</v>
      </c>
      <c r="H36" s="36" t="str">
        <f>IF('Balance Sheet'!H9&gt;=0,"OK","NEG")</f>
        <v>OK</v>
      </c>
      <c r="I36" s="36" t="str">
        <f>IF('Balance Sheet'!I9&gt;=0,"OK","NEG")</f>
        <v>OK</v>
      </c>
      <c r="J36" s="36" t="str">
        <f>IF('Balance Sheet'!J9&gt;=0,"OK","NEG")</f>
        <v>OK</v>
      </c>
    </row>
    <row r="37" spans="2:10" ht="16.5" customHeight="1" x14ac:dyDescent="0.45">
      <c r="B37" s="17" t="s">
        <v>118</v>
      </c>
      <c r="C37" s="17"/>
      <c r="D37" s="17"/>
      <c r="F37" s="36" t="str">
        <f>IF(F16&gt;=0,"OK","CHECK")</f>
        <v>OK</v>
      </c>
      <c r="G37" s="36" t="str">
        <f>IF(G16&gt;=0,"OK","CHECK")</f>
        <v>OK</v>
      </c>
      <c r="H37" s="36" t="str">
        <f>IF(H16&gt;=0,"OK","CHECK")</f>
        <v>OK</v>
      </c>
      <c r="I37" s="36" t="str">
        <f>IF(I16&gt;=0,"OK","CHECK")</f>
        <v>OK</v>
      </c>
      <c r="J37" s="36" t="str">
        <f>IF(J16&gt;=0,"OK","CHECK")</f>
        <v>OK</v>
      </c>
    </row>
    <row r="38" spans="2:10" ht="16.5" customHeight="1" x14ac:dyDescent="0.45"/>
    <row r="39" spans="2:10" ht="16.5" customHeight="1" x14ac:dyDescent="0.45">
      <c r="B39" s="24" t="s">
        <v>119</v>
      </c>
      <c r="C39" s="24"/>
      <c r="D39" s="24"/>
      <c r="E39" s="37" t="str">
        <f>IF(AND(SUMPRODUCT(ABS(E35:J35))&lt;0.01,MIN('Balance Sheet'!F9:J9)&gt;=0),"MODEL OK","REVIEW")</f>
        <v>MODEL OK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7">
    <mergeCell ref="B25:J25"/>
    <mergeCell ref="B34:J34"/>
    <mergeCell ref="A1:J1"/>
    <mergeCell ref="A2:J2"/>
    <mergeCell ref="A3:J3"/>
    <mergeCell ref="B5:J5"/>
    <mergeCell ref="B18:J18"/>
  </mergeCells>
  <pageMargins left="0.75" right="0.75" top="1" bottom="1" header="0.511811023622047" footer="0.511811023622047"/>
  <pageSetup scale="99" fitToHeight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5"/>
  <sheetViews>
    <sheetView showGridLines="0" zoomScaleNormal="100" workbookViewId="0">
      <pane ySplit="4" topLeftCell="A35" activePane="bottomLeft" state="frozen"/>
      <selection pane="bottomLeft" activeCell="F37" sqref="F37"/>
    </sheetView>
  </sheetViews>
  <sheetFormatPr defaultColWidth="8.6640625" defaultRowHeight="14.25" x14ac:dyDescent="0.45"/>
  <cols>
    <col min="1" max="1" width="3.1328125" style="12" customWidth="1"/>
    <col min="2" max="2" width="26.73046875" style="12" bestFit="1" customWidth="1"/>
    <col min="3" max="10" width="11.59765625" style="12" customWidth="1"/>
    <col min="11" max="11" width="2.265625" style="12" customWidth="1"/>
    <col min="12" max="16384" width="8.6640625" style="12"/>
  </cols>
  <sheetData>
    <row r="1" spans="1:10" customFormat="1" ht="28.05" customHeight="1" x14ac:dyDescent="0.45">
      <c r="A1" s="48" t="s">
        <v>120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customFormat="1" ht="16.05" customHeight="1" x14ac:dyDescent="0.45">
      <c r="A2" s="49" t="s">
        <v>121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3" customHeight="1" x14ac:dyDescent="0.45">
      <c r="A3" s="50"/>
      <c r="B3" s="50"/>
      <c r="C3" s="50"/>
      <c r="D3" s="50"/>
      <c r="E3" s="50"/>
      <c r="F3" s="50"/>
      <c r="G3" s="50"/>
      <c r="H3" s="50"/>
      <c r="I3" s="50"/>
      <c r="J3" s="50"/>
    </row>
    <row r="6" spans="1:10" ht="16.5" customHeight="1" x14ac:dyDescent="0.45">
      <c r="B6" s="21" t="s">
        <v>122</v>
      </c>
      <c r="C6" s="21"/>
      <c r="D6" s="21"/>
      <c r="E6" s="16" t="s">
        <v>29</v>
      </c>
      <c r="F6" s="16" t="s">
        <v>2</v>
      </c>
      <c r="G6" s="16" t="s">
        <v>3</v>
      </c>
      <c r="H6" s="16" t="s">
        <v>4</v>
      </c>
      <c r="I6" s="16" t="s">
        <v>5</v>
      </c>
      <c r="J6" s="16" t="s">
        <v>6</v>
      </c>
    </row>
    <row r="7" spans="1:10" ht="16.5" customHeight="1" x14ac:dyDescent="0.45">
      <c r="B7" s="17" t="s">
        <v>43</v>
      </c>
      <c r="C7" s="17"/>
      <c r="D7" s="17"/>
      <c r="E7" s="38">
        <f>'Income Statement'!E14/'Income Statement'!E7</f>
        <v>0.4</v>
      </c>
      <c r="F7" s="38">
        <f>'Income Statement'!F14/'Income Statement'!F7</f>
        <v>0.4</v>
      </c>
      <c r="G7" s="38">
        <f>'Income Statement'!G14/'Income Statement'!G7</f>
        <v>0.4</v>
      </c>
      <c r="H7" s="38">
        <f>'Income Statement'!H14/'Income Statement'!H7</f>
        <v>0.39999999999999997</v>
      </c>
      <c r="I7" s="38">
        <f>'Income Statement'!I14/'Income Statement'!I7</f>
        <v>0.4</v>
      </c>
      <c r="J7" s="38">
        <f>'Income Statement'!J14/'Income Statement'!J7</f>
        <v>0.40000000000000008</v>
      </c>
    </row>
    <row r="8" spans="1:10" ht="16.5" customHeight="1" x14ac:dyDescent="0.45">
      <c r="B8" s="17" t="s">
        <v>44</v>
      </c>
      <c r="C8" s="17"/>
      <c r="D8" s="17"/>
      <c r="E8" s="38">
        <f>'Income Statement'!E19/'Income Statement'!E7</f>
        <v>0.2</v>
      </c>
      <c r="F8" s="38">
        <f>'Income Statement'!F19/'Income Statement'!F7</f>
        <v>0.20909090909090908</v>
      </c>
      <c r="G8" s="38">
        <f>'Income Statement'!G19/'Income Statement'!G7</f>
        <v>0.21776859504132232</v>
      </c>
      <c r="H8" s="38">
        <f>'Income Statement'!H19/'Income Statement'!H7</f>
        <v>0.22605184072126222</v>
      </c>
      <c r="I8" s="38">
        <f>'Income Statement'!I19/'Income Statement'!I7</f>
        <v>0.23395857523393213</v>
      </c>
      <c r="J8" s="38">
        <f>'Income Statement'!J19/'Income Statement'!J7</f>
        <v>0.24150591272329888</v>
      </c>
    </row>
    <row r="9" spans="1:10" ht="16.5" customHeight="1" x14ac:dyDescent="0.45">
      <c r="B9" s="17" t="s">
        <v>123</v>
      </c>
      <c r="C9" s="17"/>
      <c r="D9" s="17"/>
      <c r="E9" s="38">
        <f>'Income Statement'!E21/'Income Statement'!E7</f>
        <v>0.15</v>
      </c>
      <c r="F9" s="38">
        <f>'Income Statement'!F21/'Income Statement'!F7</f>
        <v>0.15763636363636363</v>
      </c>
      <c r="G9" s="38">
        <f>'Income Statement'!G21/'Income Statement'!G7</f>
        <v>0.16499173553719007</v>
      </c>
      <c r="H9" s="38">
        <f>'Income Statement'!H21/'Income Statement'!H7</f>
        <v>0.17207287753568745</v>
      </c>
      <c r="I9" s="38">
        <f>'Income Statement'!I21/'Income Statement'!I7</f>
        <v>0.17888679051977324</v>
      </c>
      <c r="J9" s="38">
        <f>'Income Statement'!J21/'Income Statement'!J7</f>
        <v>0.18544065389224537</v>
      </c>
    </row>
    <row r="10" spans="1:10" ht="16.5" customHeight="1" x14ac:dyDescent="0.45">
      <c r="B10" s="17" t="s">
        <v>45</v>
      </c>
      <c r="C10" s="17"/>
      <c r="D10" s="17"/>
      <c r="E10" s="38">
        <f>'Income Statement'!E26/'Income Statement'!E7</f>
        <v>0.1043</v>
      </c>
      <c r="F10" s="38">
        <f>'Income Statement'!F26/'Income Statement'!F7</f>
        <v>0.11160545454545455</v>
      </c>
      <c r="G10" s="38">
        <f>'Income Statement'!G26/'Income Statement'!G7</f>
        <v>0.11980563679068319</v>
      </c>
      <c r="H10" s="38">
        <f>'Income Statement'!H26/'Income Statement'!H7</f>
        <v>0.12764428571548789</v>
      </c>
      <c r="I10" s="38">
        <f>'Income Statement'!I26/'Income Statement'!I7</f>
        <v>0.13513147980901033</v>
      </c>
      <c r="J10" s="38">
        <f>'Income Statement'!J26/'Income Statement'!J7</f>
        <v>0.14228348909611455</v>
      </c>
    </row>
    <row r="11" spans="1:10" ht="16.5" customHeight="1" x14ac:dyDescent="0.45">
      <c r="B11" s="17" t="s">
        <v>124</v>
      </c>
      <c r="C11" s="17"/>
      <c r="D11" s="17"/>
      <c r="E11" s="38">
        <f>'Income Statement'!E26/'Balance Sheet'!E16</f>
        <v>0.11588888888888889</v>
      </c>
      <c r="F11" s="38">
        <f>'Income Statement'!F26/'Balance Sheet'!F16</f>
        <v>0.1256338999127129</v>
      </c>
      <c r="G11" s="38">
        <f>'Income Statement'!G26/'Balance Sheet'!G16</f>
        <v>0.13538351601377679</v>
      </c>
      <c r="H11" s="38">
        <f>'Income Statement'!H26/'Balance Sheet'!H16</f>
        <v>0.14360921114589589</v>
      </c>
      <c r="I11" s="38">
        <f>'Income Statement'!I26/'Balance Sheet'!I16</f>
        <v>0.15031656877800248</v>
      </c>
      <c r="J11" s="38">
        <f>'Income Statement'!J26/'Balance Sheet'!J16</f>
        <v>0.15559402330279479</v>
      </c>
    </row>
    <row r="12" spans="1:10" ht="16.5" customHeight="1" x14ac:dyDescent="0.45">
      <c r="B12" s="17" t="s">
        <v>125</v>
      </c>
      <c r="C12" s="17"/>
      <c r="D12" s="17"/>
      <c r="E12" s="38">
        <f>'Income Statement'!E26/'Balance Sheet'!E28</f>
        <v>0.26743589743589741</v>
      </c>
      <c r="F12" s="38">
        <f>'Income Statement'!F26/'Balance Sheet'!F28</f>
        <v>0.25794633818566437</v>
      </c>
      <c r="G12" s="38">
        <f>'Income Statement'!G26/'Balance Sheet'!G28</f>
        <v>0.25105977599596252</v>
      </c>
      <c r="H12" s="38">
        <f>'Income Statement'!H26/'Balance Sheet'!H28</f>
        <v>0.24398295651625312</v>
      </c>
      <c r="I12" s="38">
        <f>'Income Statement'!I26/'Balance Sheet'!I28</f>
        <v>0.23698957899836195</v>
      </c>
      <c r="J12" s="38">
        <f>'Income Statement'!J26/'Balance Sheet'!J28</f>
        <v>0.23024627996168798</v>
      </c>
    </row>
    <row r="13" spans="1:10" ht="16.5" customHeight="1" x14ac:dyDescent="0.45">
      <c r="B13" s="17" t="s">
        <v>126</v>
      </c>
      <c r="C13" s="17"/>
      <c r="D13" s="17"/>
      <c r="E13" s="38">
        <f>'Income Statement'!E21*(1-'Income Statement'!E25/'Income Statement'!E24)/('Balance Sheet'!E22+'Balance Sheet'!E28)</f>
        <v>0.15002876869965479</v>
      </c>
      <c r="F13" s="38">
        <f>'Income Statement'!F21*(1-'Income Statement'!F25/'Income Statement'!F24)/('Balance Sheet'!F22+'Balance Sheet'!F28)</f>
        <v>0.16004230221831955</v>
      </c>
      <c r="G13" s="38">
        <f>'Income Statement'!G21*(1-'Income Statement'!G25/'Income Statement'!G24)/('Balance Sheet'!G22+'Balance Sheet'!G28)</f>
        <v>0.16824584239573726</v>
      </c>
      <c r="H13" s="38">
        <f>'Income Statement'!H21*(1-'Income Statement'!H25/'Income Statement'!H24)/('Balance Sheet'!H22+'Balance Sheet'!H28)</f>
        <v>0.17458874682863809</v>
      </c>
      <c r="I13" s="38">
        <f>'Income Statement'!I21*(1-'Income Statement'!I25/'Income Statement'!I24)/('Balance Sheet'!I22+'Balance Sheet'!I28)</f>
        <v>0.17916701726586076</v>
      </c>
      <c r="J13" s="38">
        <f>'Income Statement'!J21*(1-'Income Statement'!J25/'Income Statement'!J24)/('Balance Sheet'!J22+'Balance Sheet'!J28)</f>
        <v>0.18215753875618143</v>
      </c>
    </row>
    <row r="14" spans="1:10" ht="16.5" customHeight="1" x14ac:dyDescent="0.45"/>
    <row r="15" spans="1:10" ht="16.5" customHeight="1" x14ac:dyDescent="0.45">
      <c r="B15" s="21" t="s">
        <v>127</v>
      </c>
      <c r="C15" s="21"/>
      <c r="D15" s="21"/>
    </row>
    <row r="16" spans="1:10" ht="16.5" customHeight="1" x14ac:dyDescent="0.45">
      <c r="B16" s="17" t="s">
        <v>128</v>
      </c>
      <c r="C16" s="17"/>
      <c r="D16" s="17"/>
      <c r="E16" s="39">
        <f>'Balance Sheet'!E13/'Balance Sheet'!E21</f>
        <v>3.0909090909090908</v>
      </c>
      <c r="F16" s="39">
        <f>'Balance Sheet'!F13/'Balance Sheet'!F21</f>
        <v>3.3634509687054646</v>
      </c>
      <c r="G16" s="39">
        <f>'Balance Sheet'!G13/'Balance Sheet'!G21</f>
        <v>3.6939980182529939</v>
      </c>
      <c r="H16" s="39">
        <f>'Balance Sheet'!H13/'Balance Sheet'!H21</f>
        <v>4.068820943022212</v>
      </c>
      <c r="I16" s="39">
        <f>'Balance Sheet'!I13/'Balance Sheet'!I21</f>
        <v>4.479431534282142</v>
      </c>
      <c r="J16" s="39">
        <f>'Balance Sheet'!J13/'Balance Sheet'!J21</f>
        <v>4.9184193877415101</v>
      </c>
    </row>
    <row r="17" spans="2:10" ht="16.5" customHeight="1" x14ac:dyDescent="0.45">
      <c r="B17" s="17" t="s">
        <v>129</v>
      </c>
      <c r="C17" s="17"/>
      <c r="D17" s="17"/>
      <c r="E17" s="39">
        <f>('Balance Sheet'!E13-'Balance Sheet'!E11)/'Balance Sheet'!E21</f>
        <v>2.2727272727272729</v>
      </c>
      <c r="F17" s="39">
        <f>('Balance Sheet'!F13-'Balance Sheet'!F11)/'Balance Sheet'!F21</f>
        <v>2.5463723262327442</v>
      </c>
      <c r="G17" s="39">
        <f>('Balance Sheet'!G13-'Balance Sheet'!G11)/'Balance Sheet'!G21</f>
        <v>2.8769193757802736</v>
      </c>
      <c r="H17" s="39">
        <f>('Balance Sheet'!H13-'Balance Sheet'!H11)/'Balance Sheet'!H21</f>
        <v>3.2517423005494912</v>
      </c>
      <c r="I17" s="39">
        <f>('Balance Sheet'!I13-'Balance Sheet'!I11)/'Balance Sheet'!I21</f>
        <v>3.6623528918094217</v>
      </c>
      <c r="J17" s="39">
        <f>('Balance Sheet'!J13-'Balance Sheet'!J11)/'Balance Sheet'!J21</f>
        <v>4.1013407452687902</v>
      </c>
    </row>
    <row r="18" spans="2:10" ht="16.5" customHeight="1" x14ac:dyDescent="0.45">
      <c r="B18" s="17" t="s">
        <v>130</v>
      </c>
      <c r="C18" s="17"/>
      <c r="D18" s="17"/>
      <c r="E18" s="39">
        <f>'Balance Sheet'!E9/'Balance Sheet'!E21</f>
        <v>0.90909090909090906</v>
      </c>
      <c r="F18" s="39">
        <f>'Balance Sheet'!F9/'Balance Sheet'!F21</f>
        <v>1.1794204028284059</v>
      </c>
      <c r="G18" s="39">
        <f>'Balance Sheet'!G9/'Balance Sheet'!G21</f>
        <v>1.5099674523759352</v>
      </c>
      <c r="H18" s="39">
        <f>'Balance Sheet'!H9/'Balance Sheet'!H21</f>
        <v>1.8847903771451537</v>
      </c>
      <c r="I18" s="39">
        <f>'Balance Sheet'!I9/'Balance Sheet'!I21</f>
        <v>2.2954009684050836</v>
      </c>
      <c r="J18" s="39">
        <f>'Balance Sheet'!J9/'Balance Sheet'!J21</f>
        <v>2.7343888218644516</v>
      </c>
    </row>
    <row r="19" spans="2:10" ht="16.5" customHeight="1" x14ac:dyDescent="0.45"/>
    <row r="20" spans="2:10" ht="16.5" customHeight="1" x14ac:dyDescent="0.45">
      <c r="B20" s="21" t="s">
        <v>131</v>
      </c>
      <c r="C20" s="21"/>
      <c r="D20" s="21"/>
    </row>
    <row r="21" spans="2:10" ht="16.5" customHeight="1" x14ac:dyDescent="0.45">
      <c r="B21" s="17" t="s">
        <v>132</v>
      </c>
      <c r="C21" s="17"/>
      <c r="D21" s="17"/>
      <c r="E21" s="40">
        <f>'Balance Sheet'!E10/'Income Statement'!E7*365</f>
        <v>43.8</v>
      </c>
      <c r="F21" s="40">
        <f>'Balance Sheet'!F10/'Income Statement'!F7*365</f>
        <v>44.04032921810699</v>
      </c>
      <c r="G21" s="40">
        <f>'Balance Sheet'!G10/'Income Statement'!G7*365</f>
        <v>44.04032921810699</v>
      </c>
      <c r="H21" s="40">
        <f>'Balance Sheet'!H10/'Income Statement'!H7*365</f>
        <v>44.04032921810699</v>
      </c>
      <c r="I21" s="40">
        <f>'Balance Sheet'!I10/'Income Statement'!I7*365</f>
        <v>44.04032921810699</v>
      </c>
      <c r="J21" s="40">
        <f>'Balance Sheet'!J10/'Income Statement'!J7*365</f>
        <v>44.04032921810699</v>
      </c>
    </row>
    <row r="22" spans="2:10" ht="16.5" customHeight="1" x14ac:dyDescent="0.45">
      <c r="B22" s="17" t="s">
        <v>16</v>
      </c>
      <c r="C22" s="17"/>
      <c r="D22" s="17"/>
      <c r="E22" s="40">
        <f>'Balance Sheet'!E11/'Income Statement'!E10*365</f>
        <v>54.75</v>
      </c>
      <c r="F22" s="40">
        <f>'Balance Sheet'!F11/'Income Statement'!F10*365</f>
        <v>54.782984411476775</v>
      </c>
      <c r="G22" s="40">
        <f>'Balance Sheet'!G11/'Income Statement'!G10*365</f>
        <v>54.782984411476768</v>
      </c>
      <c r="H22" s="40">
        <f>'Balance Sheet'!H11/'Income Statement'!H10*365</f>
        <v>54.782984411476768</v>
      </c>
      <c r="I22" s="40">
        <f>'Balance Sheet'!I11/'Income Statement'!I10*365</f>
        <v>54.782984411476768</v>
      </c>
      <c r="J22" s="40">
        <f>'Balance Sheet'!J11/'Income Statement'!J10*365</f>
        <v>54.782984411476768</v>
      </c>
    </row>
    <row r="23" spans="2:10" ht="16.5" customHeight="1" x14ac:dyDescent="0.45">
      <c r="B23" s="17" t="s">
        <v>133</v>
      </c>
      <c r="C23" s="17"/>
      <c r="D23" s="17"/>
      <c r="E23" s="40">
        <f>'Balance Sheet'!E19/'Income Statement'!E10*365</f>
        <v>42.583333333333336</v>
      </c>
      <c r="F23" s="40">
        <f>'Balance Sheet'!F19/'Income Statement'!F10*365</f>
        <v>42.714049334370898</v>
      </c>
      <c r="G23" s="40">
        <f>'Balance Sheet'!G19/'Income Statement'!G10*365</f>
        <v>42.714049334370898</v>
      </c>
      <c r="H23" s="40">
        <f>'Balance Sheet'!H19/'Income Statement'!H10*365</f>
        <v>42.714049334370891</v>
      </c>
      <c r="I23" s="40">
        <f>'Balance Sheet'!I19/'Income Statement'!I10*365</f>
        <v>42.714049334370898</v>
      </c>
      <c r="J23" s="40">
        <f>'Balance Sheet'!J19/'Income Statement'!J10*365</f>
        <v>42.714049334370898</v>
      </c>
    </row>
    <row r="24" spans="2:10" ht="16.5" customHeight="1" x14ac:dyDescent="0.45">
      <c r="B24" s="24" t="s">
        <v>134</v>
      </c>
      <c r="C24" s="24"/>
      <c r="D24" s="24"/>
      <c r="E24" s="40">
        <f t="shared" ref="E24:J24" si="0">E21+E22-E23</f>
        <v>55.966666666666661</v>
      </c>
      <c r="F24" s="40">
        <f t="shared" si="0"/>
        <v>56.109264295212867</v>
      </c>
      <c r="G24" s="40">
        <f t="shared" si="0"/>
        <v>56.109264295212867</v>
      </c>
      <c r="H24" s="40">
        <f t="shared" si="0"/>
        <v>56.109264295212874</v>
      </c>
      <c r="I24" s="40">
        <f t="shared" si="0"/>
        <v>56.109264295212867</v>
      </c>
      <c r="J24" s="40">
        <f t="shared" si="0"/>
        <v>56.109264295212867</v>
      </c>
    </row>
    <row r="25" spans="2:10" ht="16.5" customHeight="1" x14ac:dyDescent="0.45">
      <c r="B25" s="17" t="s">
        <v>135</v>
      </c>
      <c r="C25" s="17"/>
      <c r="D25" s="17"/>
      <c r="E25" s="39">
        <f>'Income Statement'!E7/'Balance Sheet'!E16</f>
        <v>1.1111111111111112</v>
      </c>
      <c r="F25" s="39">
        <f>'Income Statement'!F7/'Balance Sheet'!F16</f>
        <v>1.1256967719399849</v>
      </c>
      <c r="G25" s="39">
        <f>'Income Statement'!G7/'Balance Sheet'!G16</f>
        <v>1.1300262628736766</v>
      </c>
      <c r="H25" s="39">
        <f>'Income Statement'!H7/'Balance Sheet'!H16</f>
        <v>1.1250735615849889</v>
      </c>
      <c r="I25" s="39">
        <f>'Income Statement'!I7/'Balance Sheet'!I16</f>
        <v>1.1123726979860959</v>
      </c>
      <c r="J25" s="39">
        <f>'Income Statement'!J7/'Balance Sheet'!J16</f>
        <v>1.0935493941794525</v>
      </c>
    </row>
    <row r="26" spans="2:10" ht="16.5" customHeight="1" x14ac:dyDescent="0.45">
      <c r="B26" s="17" t="s">
        <v>136</v>
      </c>
      <c r="C26" s="17"/>
      <c r="D26" s="17"/>
      <c r="E26" s="39">
        <f>'Income Statement'!E10/'Balance Sheet'!E11</f>
        <v>6.666666666666667</v>
      </c>
      <c r="F26" s="39">
        <f>'Income Statement'!F10/'Balance Sheet'!F11</f>
        <v>6.6626527181957291</v>
      </c>
      <c r="G26" s="39">
        <f>'Income Statement'!G10/'Balance Sheet'!G11</f>
        <v>6.6626527181957309</v>
      </c>
      <c r="H26" s="39">
        <f>'Income Statement'!H10/'Balance Sheet'!H11</f>
        <v>6.66265271819573</v>
      </c>
      <c r="I26" s="39">
        <f>'Income Statement'!I10/'Balance Sheet'!I11</f>
        <v>6.6626527181957309</v>
      </c>
      <c r="J26" s="39">
        <f>'Income Statement'!J10/'Balance Sheet'!J11</f>
        <v>6.66265271819573</v>
      </c>
    </row>
    <row r="27" spans="2:10" ht="16.5" customHeight="1" x14ac:dyDescent="0.45"/>
    <row r="28" spans="2:10" ht="16.5" customHeight="1" x14ac:dyDescent="0.45">
      <c r="B28" s="21" t="s">
        <v>137</v>
      </c>
      <c r="C28" s="21"/>
      <c r="D28" s="21"/>
    </row>
    <row r="29" spans="2:10" ht="16.5" customHeight="1" x14ac:dyDescent="0.45">
      <c r="B29" s="17" t="s">
        <v>138</v>
      </c>
      <c r="C29" s="17"/>
      <c r="D29" s="17"/>
      <c r="E29" s="39">
        <f>'Balance Sheet'!E22/'Balance Sheet'!E28</f>
        <v>1.0256410256410255</v>
      </c>
      <c r="F29" s="39">
        <f>'Balance Sheet'!F22/'Balance Sheet'!F28</f>
        <v>0.79842634369900833</v>
      </c>
      <c r="G29" s="39">
        <f>'Balance Sheet'!G22/'Balance Sheet'!G28</f>
        <v>0.6234720881685768</v>
      </c>
      <c r="H29" s="39">
        <f>'Balance Sheet'!H22/'Balance Sheet'!H28</f>
        <v>0.48826879970459452</v>
      </c>
      <c r="I29" s="39">
        <f>'Balance Sheet'!I22/'Balance Sheet'!I28</f>
        <v>0.38331159304336504</v>
      </c>
      <c r="J29" s="39">
        <f>'Balance Sheet'!J22/'Balance Sheet'!J28</f>
        <v>0.301436573614002</v>
      </c>
    </row>
    <row r="30" spans="2:10" ht="16.5" customHeight="1" x14ac:dyDescent="0.45">
      <c r="B30" s="17" t="s">
        <v>139</v>
      </c>
      <c r="C30" s="17"/>
      <c r="D30" s="17"/>
      <c r="E30" s="22">
        <f>'Balance Sheet'!E22-'Balance Sheet'!E9</f>
        <v>300</v>
      </c>
      <c r="F30" s="22">
        <f>'Balance Sheet'!F22-'Balance Sheet'!F9</f>
        <v>237.01135970084263</v>
      </c>
      <c r="G30" s="22">
        <f>'Balance Sheet'!G22-'Balance Sheet'!G9</f>
        <v>158.63074130921814</v>
      </c>
      <c r="H30" s="22">
        <f>'Balance Sheet'!H22-'Balance Sheet'!H9</f>
        <v>63.508791875190809</v>
      </c>
      <c r="I30" s="22">
        <f>'Balance Sheet'!I22-'Balance Sheet'!I9</f>
        <v>-50.398753112867666</v>
      </c>
      <c r="J30" s="22">
        <f>'Balance Sheet'!J22-'Balance Sheet'!J9</f>
        <v>-185.35992033361396</v>
      </c>
    </row>
    <row r="31" spans="2:10" ht="16.5" customHeight="1" x14ac:dyDescent="0.45">
      <c r="B31" s="17" t="s">
        <v>140</v>
      </c>
      <c r="C31" s="17"/>
      <c r="D31" s="17"/>
      <c r="E31" s="39">
        <f>'Balance Sheet'!E22/'Income Statement'!E19</f>
        <v>2</v>
      </c>
      <c r="F31" s="39">
        <f>'Balance Sheet'!F22/'Income Statement'!F19</f>
        <v>1.6521739130434783</v>
      </c>
      <c r="G31" s="39">
        <f>'Balance Sheet'!G22/'Income Statement'!G19</f>
        <v>1.3662239089184061</v>
      </c>
      <c r="H31" s="39">
        <f>'Balance Sheet'!H22/'Income Statement'!H19</f>
        <v>1.1300373909430828</v>
      </c>
      <c r="I31" s="39">
        <f>'Balance Sheet'!I22/'Income Statement'!I19</f>
        <v>0.93420087508347582</v>
      </c>
      <c r="J31" s="39">
        <f>'Balance Sheet'!J22/'Income Statement'!J19</f>
        <v>0.77131195181614209</v>
      </c>
    </row>
    <row r="32" spans="2:10" ht="16.5" customHeight="1" x14ac:dyDescent="0.45">
      <c r="B32" s="17" t="s">
        <v>141</v>
      </c>
      <c r="C32" s="17"/>
      <c r="D32" s="17"/>
      <c r="E32" s="39">
        <f>'Income Statement'!E21/'Income Statement'!E22</f>
        <v>7.5</v>
      </c>
      <c r="F32" s="39">
        <f>'Income Statement'!F21/'Income Statement'!F22</f>
        <v>8.67</v>
      </c>
      <c r="G32" s="39">
        <f>'Income Statement'!G21/'Income Statement'!G22</f>
        <v>10.507368421052631</v>
      </c>
      <c r="H32" s="39">
        <f>'Income Statement'!H21/'Income Statement'!H22</f>
        <v>12.723833333333333</v>
      </c>
      <c r="I32" s="39">
        <f>'Income Statement'!I21/'Income Statement'!I22</f>
        <v>15.406361764705885</v>
      </c>
      <c r="J32" s="39">
        <f>'Income Statement'!J21/'Income Statement'!J22</f>
        <v>18.66587671875001</v>
      </c>
    </row>
    <row r="33" spans="2:10" ht="16.5" customHeight="1" x14ac:dyDescent="0.45">
      <c r="B33" s="17" t="s">
        <v>142</v>
      </c>
      <c r="C33" s="17"/>
      <c r="D33" s="17"/>
      <c r="E33" s="39">
        <f>'Balance Sheet'!E16/'Balance Sheet'!E28</f>
        <v>2.3076923076923075</v>
      </c>
      <c r="F33" s="39">
        <f>'Balance Sheet'!F16/'Balance Sheet'!F28</f>
        <v>2.0531587283756907</v>
      </c>
      <c r="G33" s="39">
        <f>'Balance Sheet'!G16/'Balance Sheet'!G28</f>
        <v>1.8544338586273266</v>
      </c>
      <c r="H33" s="39">
        <f>'Balance Sheet'!H16/'Balance Sheet'!H28</f>
        <v>1.6989366807981783</v>
      </c>
      <c r="I33" s="39">
        <f>'Balance Sheet'!I16/'Balance Sheet'!I28</f>
        <v>1.5766031710606963</v>
      </c>
      <c r="J33" s="39">
        <f>'Balance Sheet'!J16/'Balance Sheet'!J28</f>
        <v>1.4797887160075271</v>
      </c>
    </row>
    <row r="34" spans="2:10" ht="16.5" customHeight="1" x14ac:dyDescent="0.45"/>
    <row r="35" spans="2:10" ht="16.5" customHeight="1" x14ac:dyDescent="0.45">
      <c r="B35" s="21" t="s">
        <v>143</v>
      </c>
      <c r="C35" s="21"/>
      <c r="D35" s="21"/>
    </row>
    <row r="36" spans="2:10" ht="16.5" customHeight="1" x14ac:dyDescent="0.45">
      <c r="B36" s="34" t="s">
        <v>45</v>
      </c>
      <c r="C36" s="34"/>
      <c r="D36" s="34"/>
      <c r="E36" s="41">
        <f>'Income Statement'!E26/'Income Statement'!E7</f>
        <v>0.1043</v>
      </c>
      <c r="F36" s="41">
        <f>'Income Statement'!F26/'Income Statement'!F7</f>
        <v>0.11160545454545455</v>
      </c>
      <c r="G36" s="41">
        <f>'Income Statement'!G26/'Income Statement'!G7</f>
        <v>0.11980563679068319</v>
      </c>
      <c r="H36" s="41">
        <f>'Income Statement'!H26/'Income Statement'!H7</f>
        <v>0.12764428571548789</v>
      </c>
      <c r="I36" s="41">
        <f>'Income Statement'!I26/'Income Statement'!I7</f>
        <v>0.13513147980901033</v>
      </c>
      <c r="J36" s="41">
        <f>'Income Statement'!J26/'Income Statement'!J7</f>
        <v>0.14228348909611455</v>
      </c>
    </row>
    <row r="37" spans="2:10" ht="16.5" customHeight="1" x14ac:dyDescent="0.45">
      <c r="B37" s="34" t="s">
        <v>144</v>
      </c>
      <c r="C37" s="34"/>
      <c r="D37" s="34"/>
      <c r="E37" s="42">
        <f>'Income Statement'!E7/'Balance Sheet'!E16</f>
        <v>1.1111111111111112</v>
      </c>
      <c r="F37" s="42">
        <f>'Income Statement'!F7/'Balance Sheet'!F16</f>
        <v>1.1256967719399849</v>
      </c>
      <c r="G37" s="42">
        <f>'Income Statement'!G7/'Balance Sheet'!G16</f>
        <v>1.1300262628736766</v>
      </c>
      <c r="H37" s="42">
        <f>'Income Statement'!H7/'Balance Sheet'!H16</f>
        <v>1.1250735615849889</v>
      </c>
      <c r="I37" s="42">
        <f>'Income Statement'!I7/'Balance Sheet'!I16</f>
        <v>1.1123726979860959</v>
      </c>
      <c r="J37" s="42">
        <f>'Income Statement'!J7/'Balance Sheet'!J16</f>
        <v>1.0935493941794525</v>
      </c>
    </row>
    <row r="38" spans="2:10" ht="16.5" customHeight="1" x14ac:dyDescent="0.45">
      <c r="B38" s="34" t="s">
        <v>145</v>
      </c>
      <c r="C38" s="34"/>
      <c r="D38" s="34"/>
      <c r="E38" s="42">
        <f>'Balance Sheet'!E16/'Balance Sheet'!E28</f>
        <v>2.3076923076923075</v>
      </c>
      <c r="F38" s="42">
        <f>'Balance Sheet'!F16/'Balance Sheet'!F28</f>
        <v>2.0531587283756907</v>
      </c>
      <c r="G38" s="42">
        <f>'Balance Sheet'!G16/'Balance Sheet'!G28</f>
        <v>1.8544338586273266</v>
      </c>
      <c r="H38" s="42">
        <f>'Balance Sheet'!H16/'Balance Sheet'!H28</f>
        <v>1.6989366807981783</v>
      </c>
      <c r="I38" s="42">
        <f>'Balance Sheet'!I16/'Balance Sheet'!I28</f>
        <v>1.5766031710606963</v>
      </c>
      <c r="J38" s="42">
        <f>'Balance Sheet'!J16/'Balance Sheet'!J28</f>
        <v>1.4797887160075271</v>
      </c>
    </row>
    <row r="39" spans="2:10" ht="16.5" customHeight="1" x14ac:dyDescent="0.45">
      <c r="B39" s="24" t="s">
        <v>146</v>
      </c>
      <c r="C39" s="24"/>
      <c r="D39" s="24"/>
      <c r="E39" s="38">
        <f t="shared" ref="E39:J39" si="1">E36*E37*E38</f>
        <v>0.26743589743589746</v>
      </c>
      <c r="F39" s="38">
        <f t="shared" si="1"/>
        <v>0.25794633818566443</v>
      </c>
      <c r="G39" s="38">
        <f t="shared" si="1"/>
        <v>0.25105977599596258</v>
      </c>
      <c r="H39" s="38">
        <f t="shared" si="1"/>
        <v>0.24398295651625312</v>
      </c>
      <c r="I39" s="38">
        <f t="shared" si="1"/>
        <v>0.23698957899836195</v>
      </c>
      <c r="J39" s="38">
        <f t="shared" si="1"/>
        <v>0.23024627996168795</v>
      </c>
    </row>
    <row r="40" spans="2:10" ht="16.5" customHeight="1" x14ac:dyDescent="0.45"/>
    <row r="41" spans="2:10" ht="16.5" customHeight="1" x14ac:dyDescent="0.45">
      <c r="B41" s="21" t="s">
        <v>147</v>
      </c>
      <c r="C41" s="21"/>
      <c r="D41" s="21"/>
    </row>
    <row r="42" spans="2:10" ht="16.5" customHeight="1" x14ac:dyDescent="0.45">
      <c r="B42" s="17" t="s">
        <v>148</v>
      </c>
      <c r="C42" s="17"/>
      <c r="D42" s="17"/>
      <c r="E42" s="43">
        <f>'Income Statement'!E26/Assumptions!$C$34</f>
        <v>1.0429999999999999</v>
      </c>
      <c r="F42" s="43">
        <f>'Income Statement'!F26/Assumptions!$C$34</f>
        <v>1.22766</v>
      </c>
      <c r="G42" s="43">
        <f>'Income Statement'!G26/Assumptions!$C$34</f>
        <v>1.4496482051672666</v>
      </c>
      <c r="H42" s="43">
        <f>'Income Statement'!H26/Assumptions!$C$34</f>
        <v>1.6989454428731436</v>
      </c>
      <c r="I42" s="43">
        <f>'Income Statement'!I26/Assumptions!$C$34</f>
        <v>1.9784599958837203</v>
      </c>
      <c r="J42" s="43">
        <f>'Income Statement'!J26/Assumptions!$C$34</f>
        <v>2.2914898202418343</v>
      </c>
    </row>
    <row r="43" spans="2:10" ht="16.5" customHeight="1" x14ac:dyDescent="0.45">
      <c r="B43" s="17" t="s">
        <v>149</v>
      </c>
      <c r="C43" s="17"/>
      <c r="D43" s="17"/>
      <c r="E43" s="43">
        <f>'Balance Sheet'!E28/Assumptions!$C$34</f>
        <v>3.9</v>
      </c>
      <c r="F43" s="43">
        <f>'Balance Sheet'!F28/Assumptions!$C$34</f>
        <v>4.7593620000000003</v>
      </c>
      <c r="G43" s="43">
        <f>'Balance Sheet'!G28/Assumptions!$C$34</f>
        <v>5.7741157436170871</v>
      </c>
      <c r="H43" s="43">
        <f>'Balance Sheet'!H28/Assumptions!$C$34</f>
        <v>6.9633775536282885</v>
      </c>
      <c r="I43" s="43">
        <f>'Balance Sheet'!I28/Assumptions!$C$34</f>
        <v>8.3482995507468925</v>
      </c>
      <c r="J43" s="43">
        <f>'Balance Sheet'!J28/Assumptions!$C$34</f>
        <v>9.9523424249161749</v>
      </c>
    </row>
    <row r="44" spans="2:10" ht="16.5" customHeight="1" x14ac:dyDescent="0.45">
      <c r="B44" s="17" t="s">
        <v>150</v>
      </c>
      <c r="C44" s="17"/>
      <c r="D44" s="17"/>
      <c r="E44" s="33" t="s">
        <v>94</v>
      </c>
      <c r="F44" s="22">
        <f>'Cash Flow'!F16+'Cash Flow'!F19</f>
        <v>99.818440299157373</v>
      </c>
      <c r="G44" s="22">
        <f>'Cash Flow'!G16+'Cash Flow'!G19</f>
        <v>121.87006454664248</v>
      </c>
      <c r="H44" s="22">
        <f>'Cash Flow'!H16+'Cash Flow'!H19</f>
        <v>146.09031272022168</v>
      </c>
      <c r="I44" s="22">
        <f>'Cash Flow'!I16+'Cash Flow'!I19</f>
        <v>173.26134486457011</v>
      </c>
      <c r="J44" s="22">
        <f>'Cash Flow'!J16+'Cash Flow'!J19</f>
        <v>203.70586182800133</v>
      </c>
    </row>
    <row r="45" spans="2:10" ht="16.5" customHeight="1" x14ac:dyDescent="0.45">
      <c r="B45" s="17" t="s">
        <v>151</v>
      </c>
      <c r="C45" s="17"/>
      <c r="D45" s="17"/>
      <c r="E45" s="33" t="s">
        <v>94</v>
      </c>
      <c r="F45" s="38">
        <f>F44/'Income Statement'!F7</f>
        <v>9.0744036635597616E-2</v>
      </c>
      <c r="G45" s="38">
        <f>G44/'Income Statement'!G7</f>
        <v>0.10071906160879544</v>
      </c>
      <c r="H45" s="38">
        <f>H44/'Income Statement'!H7</f>
        <v>0.10975981421504258</v>
      </c>
      <c r="I45" s="38">
        <f>I44/'Income Statement'!I7</f>
        <v>0.11833982983714916</v>
      </c>
      <c r="J45" s="38">
        <f>J44/'Income Statement'!J7</f>
        <v>0.12648531324114803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3:J3"/>
  </mergeCells>
  <pageMargins left="0.75" right="0.75" top="1" bottom="1" header="0.511811023622047" footer="0.511811023622047"/>
  <pageSetup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Guide</vt:lpstr>
      <vt:lpstr>Assumptions</vt:lpstr>
      <vt:lpstr>Income Statement</vt:lpstr>
      <vt:lpstr>Balance Sheet</vt:lpstr>
      <vt:lpstr>Cash Flow</vt:lpstr>
      <vt:lpstr>Schedules</vt:lpstr>
      <vt:lpstr>Ratios &amp;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CARL NAOUFAL</cp:lastModifiedBy>
  <cp:revision>0</cp:revision>
  <dcterms:created xsi:type="dcterms:W3CDTF">2026-07-03T17:41:47Z</dcterms:created>
  <dcterms:modified xsi:type="dcterms:W3CDTF">2026-07-06T06:17:42Z</dcterms:modified>
  <dc:language>en-US</dc:language>
</cp:coreProperties>
</file>